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lisac\Downloads\"/>
    </mc:Choice>
  </mc:AlternateContent>
  <xr:revisionPtr revIDLastSave="0" documentId="8_{4A3C4DD1-D06B-44F3-8921-5064E6632BBA}" xr6:coauthVersionLast="47" xr6:coauthVersionMax="47" xr10:uidLastSave="{00000000-0000-0000-0000-000000000000}"/>
  <workbookProtection lockStructure="1"/>
  <bookViews>
    <workbookView xWindow="2688" yWindow="768" windowWidth="17964" windowHeight="12192" firstSheet="14" activeTab="14" xr2:uid="{00000000-000D-0000-FFFF-FFFF00000000}"/>
  </bookViews>
  <sheets>
    <sheet name="From union" sheetId="4" state="hidden" r:id="rId1"/>
    <sheet name=" October 2011" sheetId="1" state="hidden" r:id="rId2"/>
    <sheet name="2011 Apprentice" sheetId="2" state="hidden" r:id="rId3"/>
    <sheet name="2011 temp calcs" sheetId="3" state="hidden" r:id="rId4"/>
    <sheet name="May 1 2016" sheetId="10" state="hidden" r:id="rId5"/>
    <sheet name="2016 calcs" sheetId="8" state="hidden" r:id="rId6"/>
    <sheet name="May 1 2017" sheetId="12" state="hidden" r:id="rId7"/>
    <sheet name="2017 calcs " sheetId="13" state="hidden" r:id="rId8"/>
    <sheet name="Apprentice 2016" sheetId="9" state="hidden" r:id="rId9"/>
    <sheet name="Apprentice 2017" sheetId="14" state="hidden" r:id="rId10"/>
    <sheet name="2021 calcs " sheetId="15" state="hidden" r:id="rId11"/>
    <sheet name="May 1 2021" sheetId="20" state="hidden" r:id="rId12"/>
    <sheet name="Apprentice 2021" sheetId="17" state="hidden" r:id="rId13"/>
    <sheet name="2024 calcs" sheetId="22" state="hidden" r:id="rId14"/>
    <sheet name="May 6 2024" sheetId="21" r:id="rId15"/>
    <sheet name="Apprentice 5-6 2024" sheetId="23" r:id="rId16"/>
    <sheet name="May 1 2020" sheetId="19" state="hidden" r:id="rId17"/>
    <sheet name="2015 calcs" sheetId="11" state="hidden" r:id="rId18"/>
  </sheets>
  <definedNames>
    <definedName name="AnnSub" localSheetId="15">'Apprentice 5-6 2024'!$Y$11</definedName>
    <definedName name="AnnSub">'Apprentice 2021'!$X$11</definedName>
    <definedName name="JATC" localSheetId="15">'Apprentice 5-6 2024'!$Y$14</definedName>
    <definedName name="JATC">'Apprentice 2021'!$X$14</definedName>
    <definedName name="LMCC" localSheetId="15">'Apprentice 5-6 2024'!$Y$12</definedName>
    <definedName name="LMCC">'Apprentice 2021'!$X$12</definedName>
    <definedName name="LocPen" localSheetId="15">'Apprentice 5-6 2024'!$Y$9</definedName>
    <definedName name="LocPen">'Apprentice 2021'!$X$9</definedName>
    <definedName name="NBEF" localSheetId="15">'Apprentice 5-6 2024'!$Y$10</definedName>
    <definedName name="NBEF">'Apprentice 2021'!$X$10</definedName>
    <definedName name="NLMCC" localSheetId="15">'Apprentice 5-6 2024'!$Y$13</definedName>
    <definedName name="NLMCC">'Apprentice 2021'!$X$13</definedName>
    <definedName name="PerSavings" localSheetId="15">'Apprentice 5-6 2024'!$Y$15</definedName>
    <definedName name="PerSavings">'Apprentice 2021'!$X$15</definedName>
    <definedName name="_xlnm.Print_Area" localSheetId="0">'From union'!$A$1:$U$34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9" i="23" l="1"/>
  <c r="H10" i="22" l="1"/>
  <c r="G10" i="22"/>
  <c r="F10" i="22"/>
  <c r="E10" i="22"/>
  <c r="G2" i="22"/>
  <c r="G9" i="21"/>
  <c r="G6" i="21"/>
  <c r="U4" i="21"/>
  <c r="T4" i="21"/>
  <c r="S4" i="21"/>
  <c r="R4" i="21"/>
  <c r="Q4" i="21"/>
  <c r="P4" i="21"/>
  <c r="O4" i="21"/>
  <c r="H18" i="23"/>
  <c r="T7" i="21" l="1"/>
  <c r="T8" i="21"/>
  <c r="T14" i="21" s="1"/>
  <c r="T9" i="21"/>
  <c r="T15" i="21" s="1"/>
  <c r="T6" i="21"/>
  <c r="Y14" i="23"/>
  <c r="Y13" i="23"/>
  <c r="Y12" i="23"/>
  <c r="Y11" i="23"/>
  <c r="Y10" i="23"/>
  <c r="Y9" i="23"/>
  <c r="P10" i="23" s="1"/>
  <c r="P22" i="23" s="1"/>
  <c r="H2" i="22"/>
  <c r="G7" i="21"/>
  <c r="U7" i="21" s="1"/>
  <c r="U13" i="21" s="1"/>
  <c r="I14" i="23"/>
  <c r="K14" i="23" s="1"/>
  <c r="K26" i="23" s="1"/>
  <c r="I13" i="23"/>
  <c r="K13" i="23" s="1"/>
  <c r="K25" i="23" s="1"/>
  <c r="I12" i="23"/>
  <c r="K12" i="23" s="1"/>
  <c r="K24" i="23" s="1"/>
  <c r="I11" i="23"/>
  <c r="K11" i="23" s="1"/>
  <c r="K23" i="23" s="1"/>
  <c r="I10" i="23"/>
  <c r="I9" i="23"/>
  <c r="Q6" i="21"/>
  <c r="Q12" i="21" s="1"/>
  <c r="G13" i="22"/>
  <c r="H7" i="21" s="1"/>
  <c r="H13" i="21" s="1"/>
  <c r="F13" i="22"/>
  <c r="H9" i="21" s="1"/>
  <c r="F9" i="21" s="1"/>
  <c r="F15" i="21" s="1"/>
  <c r="E13" i="22"/>
  <c r="H6" i="21" s="1"/>
  <c r="H12" i="21" s="1"/>
  <c r="G9" i="22"/>
  <c r="F9" i="22"/>
  <c r="E9" i="22"/>
  <c r="G8" i="22"/>
  <c r="F8" i="22"/>
  <c r="E8" i="22"/>
  <c r="G7" i="22"/>
  <c r="F7" i="22"/>
  <c r="E7" i="22"/>
  <c r="G6" i="22"/>
  <c r="F6" i="22"/>
  <c r="E6" i="22"/>
  <c r="G5" i="22"/>
  <c r="F5" i="22"/>
  <c r="E5" i="22"/>
  <c r="G4" i="22"/>
  <c r="F4" i="22"/>
  <c r="E4" i="22"/>
  <c r="L9" i="21"/>
  <c r="P7" i="21"/>
  <c r="P13" i="21" s="1"/>
  <c r="M7" i="21"/>
  <c r="L7" i="21"/>
  <c r="S6" i="21"/>
  <c r="S12" i="21" s="1"/>
  <c r="R6" i="21"/>
  <c r="R12" i="21" s="1"/>
  <c r="M6" i="21"/>
  <c r="S9" i="21"/>
  <c r="S15" i="21" s="1"/>
  <c r="R9" i="21"/>
  <c r="R15" i="21" s="1"/>
  <c r="P6" i="21"/>
  <c r="P12" i="21" s="1"/>
  <c r="N10" i="23" l="1"/>
  <c r="K10" i="23"/>
  <c r="K22" i="23" s="1"/>
  <c r="R7" i="21"/>
  <c r="R13" i="21" s="1"/>
  <c r="S7" i="21"/>
  <c r="S13" i="21" s="1"/>
  <c r="O7" i="21"/>
  <c r="O13" i="21" s="1"/>
  <c r="G13" i="21"/>
  <c r="K9" i="23"/>
  <c r="K21" i="23" s="1"/>
  <c r="Q12" i="23"/>
  <c r="Q24" i="23" s="1"/>
  <c r="Q14" i="23"/>
  <c r="Q26" i="23" s="1"/>
  <c r="Q13" i="23"/>
  <c r="Q25" i="23" s="1"/>
  <c r="Q10" i="23"/>
  <c r="Q22" i="23" s="1"/>
  <c r="I24" i="23"/>
  <c r="H24" i="23" s="1"/>
  <c r="R14" i="23"/>
  <c r="R26" i="23" s="1"/>
  <c r="H8" i="22"/>
  <c r="G8" i="21"/>
  <c r="T9" i="23"/>
  <c r="T21" i="23" s="1"/>
  <c r="I21" i="23"/>
  <c r="R13" i="23"/>
  <c r="R25" i="23" s="1"/>
  <c r="S12" i="23"/>
  <c r="S24" i="23" s="1"/>
  <c r="H15" i="21"/>
  <c r="F6" i="21"/>
  <c r="F12" i="21" s="1"/>
  <c r="T14" i="23"/>
  <c r="T26" i="23" s="1"/>
  <c r="T10" i="23"/>
  <c r="T22" i="23" s="1"/>
  <c r="T13" i="23"/>
  <c r="T25" i="23" s="1"/>
  <c r="T11" i="23"/>
  <c r="T23" i="23" s="1"/>
  <c r="T12" i="23"/>
  <c r="T24" i="23" s="1"/>
  <c r="R12" i="23"/>
  <c r="R24" i="23" s="1"/>
  <c r="P13" i="23"/>
  <c r="P25" i="23" s="1"/>
  <c r="P14" i="23"/>
  <c r="P26" i="23" s="1"/>
  <c r="S14" i="23"/>
  <c r="S26" i="23" s="1"/>
  <c r="S10" i="23"/>
  <c r="S22" i="23" s="1"/>
  <c r="S13" i="23"/>
  <c r="S25" i="23" s="1"/>
  <c r="H9" i="22"/>
  <c r="H7" i="22"/>
  <c r="H5" i="22"/>
  <c r="H13" i="22"/>
  <c r="H8" i="21" s="1"/>
  <c r="H6" i="22"/>
  <c r="H4" i="22"/>
  <c r="H10" i="23"/>
  <c r="S11" i="23"/>
  <c r="S23" i="23" s="1"/>
  <c r="P11" i="23"/>
  <c r="P23" i="23" s="1"/>
  <c r="Q11" i="23"/>
  <c r="Q23" i="23" s="1"/>
  <c r="R11" i="23"/>
  <c r="R23" i="23" s="1"/>
  <c r="I23" i="23"/>
  <c r="H23" i="23" s="1"/>
  <c r="M9" i="23"/>
  <c r="H9" i="23"/>
  <c r="N9" i="23"/>
  <c r="P9" i="23"/>
  <c r="P21" i="23" s="1"/>
  <c r="Q9" i="23"/>
  <c r="Q21" i="23" s="1"/>
  <c r="S9" i="23"/>
  <c r="S21" i="23" s="1"/>
  <c r="I22" i="23"/>
  <c r="H22" i="23" s="1"/>
  <c r="H11" i="23"/>
  <c r="H12" i="23"/>
  <c r="H13" i="23"/>
  <c r="H14" i="23"/>
  <c r="M11" i="23"/>
  <c r="M12" i="23"/>
  <c r="M13" i="23"/>
  <c r="M14" i="23"/>
  <c r="I25" i="23"/>
  <c r="H25" i="23" s="1"/>
  <c r="I26" i="23"/>
  <c r="H26" i="23" s="1"/>
  <c r="M10" i="23"/>
  <c r="N11" i="23"/>
  <c r="N12" i="23"/>
  <c r="N13" i="23"/>
  <c r="N14" i="23"/>
  <c r="P12" i="23"/>
  <c r="Q7" i="21"/>
  <c r="Q13" i="21" s="1"/>
  <c r="O6" i="21"/>
  <c r="G11" i="22"/>
  <c r="F11" i="22"/>
  <c r="E11" i="22"/>
  <c r="T12" i="21"/>
  <c r="G12" i="21"/>
  <c r="U6" i="21"/>
  <c r="U12" i="21" s="1"/>
  <c r="F7" i="21"/>
  <c r="F13" i="21" s="1"/>
  <c r="T13" i="21"/>
  <c r="M9" i="21"/>
  <c r="G15" i="21"/>
  <c r="U9" i="21"/>
  <c r="U15" i="21" s="1"/>
  <c r="O9" i="21"/>
  <c r="O15" i="21" s="1"/>
  <c r="L6" i="21"/>
  <c r="P9" i="21"/>
  <c r="P15" i="21" s="1"/>
  <c r="Q9" i="21"/>
  <c r="Q15" i="21" s="1"/>
  <c r="M7" i="20"/>
  <c r="M8" i="20"/>
  <c r="M9" i="20"/>
  <c r="M6" i="20"/>
  <c r="L7" i="20"/>
  <c r="L8" i="20"/>
  <c r="L9" i="20"/>
  <c r="L6" i="20"/>
  <c r="O12" i="21" l="1"/>
  <c r="O9" i="23"/>
  <c r="H21" i="23"/>
  <c r="S8" i="21"/>
  <c r="S14" i="21" s="1"/>
  <c r="R8" i="21"/>
  <c r="R14" i="21" s="1"/>
  <c r="G14" i="21"/>
  <c r="M8" i="21"/>
  <c r="L8" i="21"/>
  <c r="F8" i="21"/>
  <c r="F14" i="21" s="1"/>
  <c r="Q8" i="21"/>
  <c r="Q14" i="21" s="1"/>
  <c r="P8" i="21"/>
  <c r="P14" i="21" s="1"/>
  <c r="U8" i="21"/>
  <c r="U14" i="21" s="1"/>
  <c r="O8" i="21"/>
  <c r="O14" i="21" s="1"/>
  <c r="H14" i="21"/>
  <c r="H11" i="22"/>
  <c r="I8" i="21" s="1"/>
  <c r="J8" i="21" s="1"/>
  <c r="K8" i="21" s="1"/>
  <c r="G14" i="22"/>
  <c r="G15" i="22" s="1"/>
  <c r="I7" i="21"/>
  <c r="J7" i="21" s="1"/>
  <c r="K7" i="21" s="1"/>
  <c r="E14" i="22"/>
  <c r="I6" i="21"/>
  <c r="J6" i="21" s="1"/>
  <c r="K6" i="21" s="1"/>
  <c r="F14" i="22"/>
  <c r="F15" i="22" s="1"/>
  <c r="I9" i="21"/>
  <c r="J9" i="21" s="1"/>
  <c r="K9" i="21" s="1"/>
  <c r="I13" i="21"/>
  <c r="J13" i="21" s="1"/>
  <c r="K13" i="21" s="1"/>
  <c r="P24" i="23"/>
  <c r="I15" i="21"/>
  <c r="J15" i="21" s="1"/>
  <c r="K15" i="21" s="1"/>
  <c r="I12" i="21"/>
  <c r="J12" i="21" s="1"/>
  <c r="K12" i="21" s="1"/>
  <c r="H5" i="15"/>
  <c r="H6" i="15"/>
  <c r="H7" i="15"/>
  <c r="H8" i="15"/>
  <c r="H9" i="15"/>
  <c r="H10" i="15"/>
  <c r="H4" i="15"/>
  <c r="G7" i="15"/>
  <c r="G8" i="15"/>
  <c r="G9" i="15"/>
  <c r="G10" i="15"/>
  <c r="G6" i="15"/>
  <c r="G5" i="15"/>
  <c r="G4" i="15"/>
  <c r="F15" i="15"/>
  <c r="E15" i="15"/>
  <c r="O10" i="23" l="1"/>
  <c r="O21" i="23"/>
  <c r="L21" i="23" s="1"/>
  <c r="U9" i="23"/>
  <c r="V9" i="23" s="1"/>
  <c r="I14" i="21"/>
  <c r="J14" i="21" s="1"/>
  <c r="K14" i="21" s="1"/>
  <c r="E15" i="22"/>
  <c r="H14" i="22"/>
  <c r="H15" i="22" s="1"/>
  <c r="D18" i="15"/>
  <c r="E10" i="15"/>
  <c r="E11" i="15" s="1"/>
  <c r="I6" i="20" s="1"/>
  <c r="F10" i="15"/>
  <c r="F11" i="15" s="1"/>
  <c r="I9" i="20" s="1"/>
  <c r="G11" i="15"/>
  <c r="I7" i="20" s="1"/>
  <c r="H11" i="15"/>
  <c r="I8" i="20" s="1"/>
  <c r="T3" i="20"/>
  <c r="H9" i="20"/>
  <c r="H16" i="20" s="1"/>
  <c r="G9" i="20"/>
  <c r="G16" i="20" s="1"/>
  <c r="F9" i="20"/>
  <c r="F16" i="20" s="1"/>
  <c r="H8" i="20"/>
  <c r="H15" i="20" s="1"/>
  <c r="G8" i="20"/>
  <c r="F8" i="20" s="1"/>
  <c r="F15" i="20" s="1"/>
  <c r="H7" i="20"/>
  <c r="H14" i="20" s="1"/>
  <c r="G7" i="20"/>
  <c r="H6" i="20"/>
  <c r="H13" i="20" s="1"/>
  <c r="G6" i="20"/>
  <c r="F6" i="20" s="1"/>
  <c r="F13" i="20" s="1"/>
  <c r="U3" i="20"/>
  <c r="S3" i="20"/>
  <c r="R3" i="20"/>
  <c r="Q3" i="20"/>
  <c r="Q9" i="20" s="1"/>
  <c r="Q16" i="20" s="1"/>
  <c r="P3" i="20"/>
  <c r="P9" i="20" s="1"/>
  <c r="P16" i="20" s="1"/>
  <c r="O3" i="20"/>
  <c r="O9" i="20" s="1"/>
  <c r="O16" i="20" s="1"/>
  <c r="O11" i="23" l="1"/>
  <c r="O22" i="23"/>
  <c r="L22" i="23" s="1"/>
  <c r="L10" i="23"/>
  <c r="U10" i="23"/>
  <c r="V10" i="23" s="1"/>
  <c r="T7" i="20"/>
  <c r="T14" i="20" s="1"/>
  <c r="T6" i="20"/>
  <c r="T13" i="20" s="1"/>
  <c r="T9" i="20"/>
  <c r="T16" i="20" s="1"/>
  <c r="T8" i="20"/>
  <c r="T15" i="20" s="1"/>
  <c r="S8" i="20"/>
  <c r="S15" i="20" s="1"/>
  <c r="S9" i="20"/>
  <c r="S16" i="20" s="1"/>
  <c r="G13" i="20"/>
  <c r="F7" i="20"/>
  <c r="F14" i="20" s="1"/>
  <c r="R8" i="20"/>
  <c r="R15" i="20" s="1"/>
  <c r="G14" i="20"/>
  <c r="U7" i="20"/>
  <c r="U14" i="20" s="1"/>
  <c r="J9" i="20"/>
  <c r="K9" i="20" s="1"/>
  <c r="J6" i="20"/>
  <c r="K6" i="20" s="1"/>
  <c r="R9" i="20"/>
  <c r="R16" i="20" s="1"/>
  <c r="I16" i="20" s="1"/>
  <c r="U8" i="20"/>
  <c r="U15" i="20" s="1"/>
  <c r="J7" i="20"/>
  <c r="K7" i="20" s="1"/>
  <c r="O6" i="20"/>
  <c r="O13" i="20" s="1"/>
  <c r="J8" i="20"/>
  <c r="K8" i="20" s="1"/>
  <c r="U9" i="20"/>
  <c r="U16" i="20" s="1"/>
  <c r="P7" i="20"/>
  <c r="P14" i="20" s="1"/>
  <c r="S6" i="20"/>
  <c r="S13" i="20" s="1"/>
  <c r="Q7" i="20"/>
  <c r="Q14" i="20" s="1"/>
  <c r="O8" i="20"/>
  <c r="O15" i="20" s="1"/>
  <c r="Q6" i="20"/>
  <c r="Q13" i="20" s="1"/>
  <c r="U6" i="20"/>
  <c r="U13" i="20" s="1"/>
  <c r="R7" i="20"/>
  <c r="R14" i="20" s="1"/>
  <c r="P8" i="20"/>
  <c r="P15" i="20" s="1"/>
  <c r="P6" i="20"/>
  <c r="P13" i="20" s="1"/>
  <c r="O7" i="20"/>
  <c r="O14" i="20" s="1"/>
  <c r="R6" i="20"/>
  <c r="R13" i="20" s="1"/>
  <c r="S7" i="20"/>
  <c r="S14" i="20" s="1"/>
  <c r="Q8" i="20"/>
  <c r="Q15" i="20" s="1"/>
  <c r="G15" i="20"/>
  <c r="O12" i="23" l="1"/>
  <c r="O23" i="23"/>
  <c r="L23" i="23" s="1"/>
  <c r="U11" i="23"/>
  <c r="V11" i="23" s="1"/>
  <c r="L11" i="23"/>
  <c r="I15" i="20"/>
  <c r="I14" i="20"/>
  <c r="J14" i="20" s="1"/>
  <c r="K14" i="20" s="1"/>
  <c r="I13" i="20"/>
  <c r="J13" i="20" s="1"/>
  <c r="K13" i="20" s="1"/>
  <c r="J15" i="20"/>
  <c r="K15" i="20" s="1"/>
  <c r="J16" i="20"/>
  <c r="K16" i="20" s="1"/>
  <c r="I9" i="17"/>
  <c r="E13" i="15"/>
  <c r="F4" i="15"/>
  <c r="F5" i="15"/>
  <c r="F6" i="15"/>
  <c r="F7" i="15"/>
  <c r="F8" i="15"/>
  <c r="F9" i="15"/>
  <c r="E4" i="15"/>
  <c r="E5" i="15"/>
  <c r="E6" i="15"/>
  <c r="E7" i="15"/>
  <c r="E8" i="15"/>
  <c r="E9" i="15"/>
  <c r="I14" i="17"/>
  <c r="I13" i="17"/>
  <c r="I12" i="17"/>
  <c r="I11" i="17"/>
  <c r="I10" i="17"/>
  <c r="F13" i="15"/>
  <c r="H13" i="15"/>
  <c r="G13" i="15"/>
  <c r="I10" i="14"/>
  <c r="L10" i="14" s="1"/>
  <c r="I13" i="14"/>
  <c r="N13" i="14" s="1"/>
  <c r="N20" i="14" s="1"/>
  <c r="I12" i="14"/>
  <c r="P12" i="14" s="1"/>
  <c r="P19" i="14" s="1"/>
  <c r="I11" i="14"/>
  <c r="P11" i="14" s="1"/>
  <c r="P18" i="14" s="1"/>
  <c r="I9" i="9"/>
  <c r="N9" i="9" s="1"/>
  <c r="I10" i="9"/>
  <c r="P10" i="9" s="1"/>
  <c r="P17" i="9" s="1"/>
  <c r="I9" i="14"/>
  <c r="Q9" i="14" s="1"/>
  <c r="Q16" i="14" s="1"/>
  <c r="R6" i="12"/>
  <c r="R12" i="12" s="1"/>
  <c r="R19" i="12" s="1"/>
  <c r="Q6" i="12"/>
  <c r="Q10" i="12" s="1"/>
  <c r="Q17" i="12" s="1"/>
  <c r="P6" i="12"/>
  <c r="O6" i="12"/>
  <c r="O12" i="12" s="1"/>
  <c r="O19" i="12" s="1"/>
  <c r="N6" i="12"/>
  <c r="M6" i="12"/>
  <c r="G4" i="13"/>
  <c r="G5" i="13"/>
  <c r="G6" i="13"/>
  <c r="G7" i="13"/>
  <c r="G8" i="13"/>
  <c r="G9" i="13"/>
  <c r="F12" i="13"/>
  <c r="H12" i="12" s="1"/>
  <c r="G12" i="12"/>
  <c r="Q12" i="12" s="1"/>
  <c r="Q19" i="12" s="1"/>
  <c r="H4" i="13"/>
  <c r="H5" i="13"/>
  <c r="H6" i="13"/>
  <c r="H7" i="13"/>
  <c r="H8" i="13"/>
  <c r="H9" i="13"/>
  <c r="H12" i="13"/>
  <c r="H11" i="12"/>
  <c r="G11" i="12"/>
  <c r="O11" i="12" s="1"/>
  <c r="O18" i="12" s="1"/>
  <c r="E12" i="13"/>
  <c r="H9" i="12" s="1"/>
  <c r="G12" i="13"/>
  <c r="H10" i="12" s="1"/>
  <c r="G10" i="12"/>
  <c r="G17" i="12" s="1"/>
  <c r="E4" i="13"/>
  <c r="E5" i="13"/>
  <c r="E6" i="13"/>
  <c r="E7" i="13"/>
  <c r="E8" i="13"/>
  <c r="E9" i="13"/>
  <c r="G9" i="12"/>
  <c r="M9" i="12" s="1"/>
  <c r="M16" i="12" s="1"/>
  <c r="F9" i="13"/>
  <c r="F8" i="13"/>
  <c r="F7" i="13"/>
  <c r="F6" i="13"/>
  <c r="F5" i="13"/>
  <c r="F4" i="13"/>
  <c r="H18" i="12"/>
  <c r="L12" i="14"/>
  <c r="L19" i="14"/>
  <c r="O12" i="14"/>
  <c r="O19" i="14" s="1"/>
  <c r="J12" i="14"/>
  <c r="J19" i="14" s="1"/>
  <c r="H19" i="14" s="1"/>
  <c r="I19" i="14"/>
  <c r="Q12" i="14"/>
  <c r="Q19" i="14"/>
  <c r="M12" i="14"/>
  <c r="M19" i="14" s="1"/>
  <c r="N12" i="14"/>
  <c r="N19" i="14" s="1"/>
  <c r="I17" i="14"/>
  <c r="I20" i="14"/>
  <c r="M10" i="12"/>
  <c r="M17" i="12" s="1"/>
  <c r="N11" i="12"/>
  <c r="N18" i="12" s="1"/>
  <c r="P11" i="12"/>
  <c r="P18" i="12" s="1"/>
  <c r="O10" i="12"/>
  <c r="O17" i="12" s="1"/>
  <c r="P10" i="12"/>
  <c r="P17" i="12"/>
  <c r="Q9" i="12"/>
  <c r="Q16" i="12" s="1"/>
  <c r="N10" i="12"/>
  <c r="N17" i="12" s="1"/>
  <c r="I13" i="9"/>
  <c r="O13" i="9" s="1"/>
  <c r="O20" i="9" s="1"/>
  <c r="I12" i="9"/>
  <c r="I19" i="9" s="1"/>
  <c r="I11" i="9"/>
  <c r="Q11" i="9" s="1"/>
  <c r="Q18" i="9" s="1"/>
  <c r="P13" i="9"/>
  <c r="P20" i="9" s="1"/>
  <c r="M13" i="9"/>
  <c r="M20" i="9" s="1"/>
  <c r="M10" i="9"/>
  <c r="M17" i="9" s="1"/>
  <c r="M9" i="9"/>
  <c r="M16" i="9" s="1"/>
  <c r="H12" i="11"/>
  <c r="G12" i="11"/>
  <c r="F12" i="11"/>
  <c r="E12" i="11"/>
  <c r="H9" i="11"/>
  <c r="G9" i="11"/>
  <c r="F9" i="11"/>
  <c r="E9" i="11"/>
  <c r="H8" i="11"/>
  <c r="G8" i="11"/>
  <c r="F8" i="11"/>
  <c r="E8" i="11"/>
  <c r="H7" i="11"/>
  <c r="G7" i="11"/>
  <c r="F7" i="11"/>
  <c r="E7" i="11"/>
  <c r="H6" i="11"/>
  <c r="G6" i="11"/>
  <c r="F6" i="11"/>
  <c r="E6" i="11"/>
  <c r="H5" i="11"/>
  <c r="G5" i="11"/>
  <c r="F5" i="11"/>
  <c r="E5" i="11"/>
  <c r="H4" i="11"/>
  <c r="G4" i="11"/>
  <c r="G10" i="11" s="1"/>
  <c r="G13" i="11" s="1"/>
  <c r="F4" i="11"/>
  <c r="F10" i="11" s="1"/>
  <c r="F13" i="11" s="1"/>
  <c r="E4" i="11"/>
  <c r="R27" i="10"/>
  <c r="Q27" i="10"/>
  <c r="Q33" i="10" s="1"/>
  <c r="Q40" i="10" s="1"/>
  <c r="P27" i="10"/>
  <c r="O27" i="10"/>
  <c r="O33" i="10" s="1"/>
  <c r="O40" i="10" s="1"/>
  <c r="N27" i="10"/>
  <c r="N32" i="10" s="1"/>
  <c r="N39" i="10" s="1"/>
  <c r="M27" i="10"/>
  <c r="M31" i="10" s="1"/>
  <c r="M38" i="10" s="1"/>
  <c r="L18" i="9"/>
  <c r="J12" i="9"/>
  <c r="H12" i="9" s="1"/>
  <c r="L19" i="9"/>
  <c r="O12" i="9"/>
  <c r="O19" i="9" s="1"/>
  <c r="L16" i="9"/>
  <c r="L20" i="9"/>
  <c r="J13" i="9"/>
  <c r="J20" i="9" s="1"/>
  <c r="N10" i="9"/>
  <c r="N17" i="9" s="1"/>
  <c r="O10" i="9"/>
  <c r="J10" i="9"/>
  <c r="H10" i="9" s="1"/>
  <c r="L17" i="9"/>
  <c r="N11" i="9"/>
  <c r="N18" i="9" s="1"/>
  <c r="G33" i="10"/>
  <c r="N11" i="10" s="1"/>
  <c r="N18" i="10" s="1"/>
  <c r="G32" i="10"/>
  <c r="G39" i="10" s="1"/>
  <c r="G31" i="10"/>
  <c r="R31" i="10" s="1"/>
  <c r="R38" i="10" s="1"/>
  <c r="G30" i="10"/>
  <c r="M8" i="10" s="1"/>
  <c r="M15" i="10" s="1"/>
  <c r="M10" i="10"/>
  <c r="M17" i="10" s="1"/>
  <c r="Q10" i="10"/>
  <c r="Q17" i="10"/>
  <c r="N10" i="10"/>
  <c r="N17" i="10" s="1"/>
  <c r="O10" i="10"/>
  <c r="O17" i="10" s="1"/>
  <c r="P10" i="10"/>
  <c r="P17" i="10" s="1"/>
  <c r="O9" i="10"/>
  <c r="O16" i="10" s="1"/>
  <c r="P9" i="10"/>
  <c r="P16" i="10" s="1"/>
  <c r="N31" i="10"/>
  <c r="N38" i="10" s="1"/>
  <c r="G38" i="10"/>
  <c r="Q8" i="10"/>
  <c r="Q15" i="10" s="1"/>
  <c r="M11" i="10"/>
  <c r="M18" i="10" s="1"/>
  <c r="Q11" i="10"/>
  <c r="Q18" i="10" s="1"/>
  <c r="P32" i="10"/>
  <c r="P39" i="10" s="1"/>
  <c r="G37" i="10"/>
  <c r="Q30" i="10"/>
  <c r="Q37" i="10" s="1"/>
  <c r="M32" i="10"/>
  <c r="M39" i="10"/>
  <c r="P33" i="10"/>
  <c r="P40" i="10" s="1"/>
  <c r="I17" i="9"/>
  <c r="H12" i="8"/>
  <c r="H32" i="10" s="1"/>
  <c r="G12" i="8"/>
  <c r="F12" i="8"/>
  <c r="E12" i="8"/>
  <c r="H9" i="8"/>
  <c r="G9" i="8"/>
  <c r="F9" i="8"/>
  <c r="E9" i="8"/>
  <c r="H8" i="8"/>
  <c r="G8" i="8"/>
  <c r="F8" i="8"/>
  <c r="E8" i="8"/>
  <c r="H7" i="8"/>
  <c r="G7" i="8"/>
  <c r="F7" i="8"/>
  <c r="E7" i="8"/>
  <c r="H6" i="8"/>
  <c r="G6" i="8"/>
  <c r="F6" i="8"/>
  <c r="E6" i="8"/>
  <c r="H5" i="8"/>
  <c r="G5" i="8"/>
  <c r="F5" i="8"/>
  <c r="E5" i="8"/>
  <c r="E10" i="8" s="1"/>
  <c r="H4" i="8"/>
  <c r="G4" i="8"/>
  <c r="F4" i="8"/>
  <c r="E4" i="8"/>
  <c r="H30" i="10"/>
  <c r="H37" i="10" s="1"/>
  <c r="H33" i="10"/>
  <c r="H31" i="10"/>
  <c r="H38" i="10" s="1"/>
  <c r="F4" i="3"/>
  <c r="F5" i="3"/>
  <c r="F6" i="3"/>
  <c r="F7" i="3"/>
  <c r="F8" i="3"/>
  <c r="F9" i="3"/>
  <c r="F12" i="3"/>
  <c r="H4" i="3"/>
  <c r="H5" i="3"/>
  <c r="H6" i="3"/>
  <c r="H7" i="3"/>
  <c r="H8" i="3"/>
  <c r="H9" i="3"/>
  <c r="H12" i="3"/>
  <c r="G4" i="3"/>
  <c r="G10" i="3" s="1"/>
  <c r="H31" i="1" s="1"/>
  <c r="G5" i="3"/>
  <c r="G6" i="3"/>
  <c r="G7" i="3"/>
  <c r="G8" i="3"/>
  <c r="G9" i="3"/>
  <c r="G12" i="3"/>
  <c r="G31" i="1" s="1"/>
  <c r="G38" i="1" s="1"/>
  <c r="E4" i="3"/>
  <c r="E5" i="3"/>
  <c r="E6" i="3"/>
  <c r="E7" i="3"/>
  <c r="E8" i="3"/>
  <c r="E9" i="3"/>
  <c r="E12" i="3"/>
  <c r="H40" i="10"/>
  <c r="F33" i="10"/>
  <c r="F40" i="10"/>
  <c r="G33" i="1"/>
  <c r="G40" i="1" s="1"/>
  <c r="F33" i="1"/>
  <c r="O33" i="1" s="1"/>
  <c r="O40" i="1" s="1"/>
  <c r="Q11" i="1"/>
  <c r="Q18" i="1" s="1"/>
  <c r="O11" i="1"/>
  <c r="O18" i="1" s="1"/>
  <c r="M11" i="1"/>
  <c r="M18" i="1" s="1"/>
  <c r="L11" i="1"/>
  <c r="L18" i="1" s="1"/>
  <c r="Q33" i="1"/>
  <c r="Q40" i="1" s="1"/>
  <c r="L33" i="1"/>
  <c r="L40" i="1" s="1"/>
  <c r="M33" i="1"/>
  <c r="M40" i="1" s="1"/>
  <c r="J11" i="4"/>
  <c r="K11" i="4" s="1"/>
  <c r="D11" i="4"/>
  <c r="R11" i="4" s="1"/>
  <c r="N11" i="4"/>
  <c r="P11" i="4"/>
  <c r="R31" i="4"/>
  <c r="P31" i="4"/>
  <c r="N31" i="4"/>
  <c r="L31" i="4"/>
  <c r="J31" i="4"/>
  <c r="H31" i="4"/>
  <c r="F31" i="4"/>
  <c r="E31" i="4"/>
  <c r="R30" i="4"/>
  <c r="P30" i="4"/>
  <c r="N30" i="4"/>
  <c r="L30" i="4"/>
  <c r="J30" i="4"/>
  <c r="H30" i="4"/>
  <c r="F30" i="4"/>
  <c r="E30" i="4"/>
  <c r="R29" i="4"/>
  <c r="P29" i="4"/>
  <c r="N29" i="4"/>
  <c r="L29" i="4"/>
  <c r="J29" i="4"/>
  <c r="H29" i="4"/>
  <c r="F29" i="4"/>
  <c r="E29" i="4"/>
  <c r="R28" i="4"/>
  <c r="P28" i="4"/>
  <c r="N28" i="4"/>
  <c r="L28" i="4"/>
  <c r="J28" i="4"/>
  <c r="H28" i="4"/>
  <c r="F28" i="4"/>
  <c r="E28" i="4"/>
  <c r="T27" i="4"/>
  <c r="T26" i="4"/>
  <c r="K26" i="4"/>
  <c r="I26" i="4"/>
  <c r="G26" i="4"/>
  <c r="E26" i="4"/>
  <c r="R24" i="4"/>
  <c r="T24" i="4" s="1"/>
  <c r="P24" i="4"/>
  <c r="N24" i="4"/>
  <c r="L24" i="4"/>
  <c r="J24" i="4"/>
  <c r="F24" i="4"/>
  <c r="I24" i="4"/>
  <c r="R23" i="4"/>
  <c r="P23" i="4"/>
  <c r="N23" i="4"/>
  <c r="L23" i="4"/>
  <c r="K23" i="4"/>
  <c r="I23" i="4"/>
  <c r="F23" i="4"/>
  <c r="D22" i="4"/>
  <c r="R22" i="4"/>
  <c r="R19" i="4"/>
  <c r="T19" i="4" s="1"/>
  <c r="P19" i="4"/>
  <c r="N19" i="4"/>
  <c r="L19" i="4"/>
  <c r="J19" i="4"/>
  <c r="F19" i="4"/>
  <c r="I19" i="4"/>
  <c r="R18" i="4"/>
  <c r="T18" i="4" s="1"/>
  <c r="P18" i="4"/>
  <c r="N18" i="4"/>
  <c r="L18" i="4"/>
  <c r="F18" i="4"/>
  <c r="K18" i="4"/>
  <c r="I18" i="4"/>
  <c r="R17" i="4"/>
  <c r="P17" i="4"/>
  <c r="N17" i="4"/>
  <c r="L17" i="4"/>
  <c r="F17" i="4"/>
  <c r="K17" i="4"/>
  <c r="I17" i="4"/>
  <c r="J14" i="4"/>
  <c r="D14" i="4"/>
  <c r="I14" i="4" s="1"/>
  <c r="J13" i="4"/>
  <c r="K13" i="4" s="1"/>
  <c r="D13" i="4"/>
  <c r="R13" i="4" s="1"/>
  <c r="J12" i="4"/>
  <c r="K12" i="4" s="1"/>
  <c r="D12" i="4"/>
  <c r="P12" i="4" s="1"/>
  <c r="J10" i="4"/>
  <c r="D10" i="4"/>
  <c r="F10" i="4" s="1"/>
  <c r="J9" i="4"/>
  <c r="K9" i="4" s="1"/>
  <c r="D9" i="4"/>
  <c r="R9" i="4"/>
  <c r="J8" i="4"/>
  <c r="K8" i="4" s="1"/>
  <c r="D8" i="4"/>
  <c r="R8" i="4" s="1"/>
  <c r="J7" i="4"/>
  <c r="K7" i="4" s="1"/>
  <c r="D7" i="4"/>
  <c r="F7" i="4" s="1"/>
  <c r="J6" i="4"/>
  <c r="D6" i="4"/>
  <c r="P6" i="4" s="1"/>
  <c r="J5" i="4"/>
  <c r="K5" i="4" s="1"/>
  <c r="D5" i="4"/>
  <c r="P5" i="4" s="1"/>
  <c r="R5" i="4"/>
  <c r="N5" i="4"/>
  <c r="L5" i="4"/>
  <c r="I5" i="4"/>
  <c r="L6" i="4"/>
  <c r="L7" i="4"/>
  <c r="N7" i="4"/>
  <c r="I8" i="4"/>
  <c r="N8" i="4"/>
  <c r="F9" i="4"/>
  <c r="I9" i="4"/>
  <c r="L9" i="4"/>
  <c r="N9" i="4"/>
  <c r="P9" i="4"/>
  <c r="N10" i="4"/>
  <c r="F11" i="4"/>
  <c r="I11" i="4"/>
  <c r="F12" i="4"/>
  <c r="N12" i="4"/>
  <c r="F13" i="4"/>
  <c r="L13" i="4"/>
  <c r="N13" i="4"/>
  <c r="F22" i="4"/>
  <c r="I22" i="4"/>
  <c r="K22" i="4"/>
  <c r="L22" i="4"/>
  <c r="N22" i="4"/>
  <c r="P22" i="4"/>
  <c r="G32" i="1"/>
  <c r="G39" i="1" s="1"/>
  <c r="F32" i="1"/>
  <c r="F39" i="1" s="1"/>
  <c r="F31" i="1"/>
  <c r="L9" i="1" s="1"/>
  <c r="L16" i="1" s="1"/>
  <c r="G30" i="1"/>
  <c r="G37" i="1" s="1"/>
  <c r="F30" i="1"/>
  <c r="F37" i="1" s="1"/>
  <c r="I16" i="2"/>
  <c r="I40" i="2"/>
  <c r="I47" i="2" s="1"/>
  <c r="I14" i="2"/>
  <c r="I12" i="2"/>
  <c r="I24" i="2" s="1"/>
  <c r="I10" i="2"/>
  <c r="I37" i="2" s="1"/>
  <c r="I44" i="2" s="1"/>
  <c r="Z8" i="2"/>
  <c r="L8" i="2" s="1"/>
  <c r="T8" i="2"/>
  <c r="T9" i="2"/>
  <c r="T10" i="2" s="1"/>
  <c r="V8" i="2"/>
  <c r="V9" i="2" s="1"/>
  <c r="W10" i="2"/>
  <c r="W11" i="2"/>
  <c r="W12" i="2"/>
  <c r="X8" i="2"/>
  <c r="X9" i="2"/>
  <c r="X10" i="2" s="1"/>
  <c r="Y8" i="2"/>
  <c r="Y9" i="2" s="1"/>
  <c r="Y10" i="2" s="1"/>
  <c r="S10" i="2"/>
  <c r="S11" i="2" s="1"/>
  <c r="I8" i="2"/>
  <c r="P8" i="2" s="1"/>
  <c r="I17" i="2"/>
  <c r="I15" i="2"/>
  <c r="I13" i="2"/>
  <c r="I11" i="2"/>
  <c r="O11" i="2"/>
  <c r="I9" i="2"/>
  <c r="Z9" i="2"/>
  <c r="Z10" i="2" s="1"/>
  <c r="Z11" i="2" s="1"/>
  <c r="Z12" i="2" s="1"/>
  <c r="Z13" i="2" s="1"/>
  <c r="Z14" i="2" s="1"/>
  <c r="Z15" i="2" s="1"/>
  <c r="Z16" i="2" s="1"/>
  <c r="Z17" i="2" s="1"/>
  <c r="J9" i="2"/>
  <c r="I29" i="2"/>
  <c r="I28" i="2"/>
  <c r="I26" i="2"/>
  <c r="I25" i="2"/>
  <c r="I23" i="2"/>
  <c r="I21" i="2"/>
  <c r="L8" i="1"/>
  <c r="L15" i="1" s="1"/>
  <c r="M8" i="1"/>
  <c r="M15" i="1" s="1"/>
  <c r="N8" i="1"/>
  <c r="N15" i="1" s="1"/>
  <c r="O8" i="1"/>
  <c r="O15" i="1" s="1"/>
  <c r="P8" i="1"/>
  <c r="P15" i="1" s="1"/>
  <c r="Q8" i="1"/>
  <c r="Q15" i="1" s="1"/>
  <c r="N9" i="1"/>
  <c r="N16" i="1" s="1"/>
  <c r="Q10" i="1"/>
  <c r="Q17" i="1"/>
  <c r="P10" i="1"/>
  <c r="P17" i="1" s="1"/>
  <c r="O10" i="1"/>
  <c r="O17" i="1"/>
  <c r="N10" i="1"/>
  <c r="N17" i="1" s="1"/>
  <c r="M10" i="1"/>
  <c r="M17" i="1"/>
  <c r="L10" i="1"/>
  <c r="L17" i="1" s="1"/>
  <c r="Q30" i="1"/>
  <c r="Q37" i="1"/>
  <c r="Q32" i="1"/>
  <c r="Q39" i="1"/>
  <c r="I39" i="2"/>
  <c r="I46" i="2" s="1"/>
  <c r="L30" i="1"/>
  <c r="L37" i="1" s="1"/>
  <c r="M30" i="1"/>
  <c r="M37" i="1" s="1"/>
  <c r="N30" i="1"/>
  <c r="N37" i="1" s="1"/>
  <c r="O30" i="1"/>
  <c r="O37" i="1" s="1"/>
  <c r="P30" i="1"/>
  <c r="P37" i="1"/>
  <c r="L32" i="1"/>
  <c r="L39" i="1" s="1"/>
  <c r="M32" i="1"/>
  <c r="M39" i="1"/>
  <c r="N32" i="1"/>
  <c r="N39" i="1"/>
  <c r="O32" i="1"/>
  <c r="O39" i="1" s="1"/>
  <c r="P32" i="1"/>
  <c r="P39" i="1" s="1"/>
  <c r="O13" i="23" l="1"/>
  <c r="O24" i="23"/>
  <c r="L24" i="23" s="1"/>
  <c r="L12" i="23"/>
  <c r="U12" i="23"/>
  <c r="V12" i="23" s="1"/>
  <c r="R10" i="17"/>
  <c r="R22" i="17" s="1"/>
  <c r="P10" i="17"/>
  <c r="P22" i="17" s="1"/>
  <c r="S10" i="17"/>
  <c r="S22" i="17" s="1"/>
  <c r="O10" i="17"/>
  <c r="R11" i="17"/>
  <c r="R23" i="17" s="1"/>
  <c r="P11" i="17"/>
  <c r="P23" i="17" s="1"/>
  <c r="O11" i="17"/>
  <c r="Q11" i="17"/>
  <c r="S11" i="17"/>
  <c r="S23" i="17" s="1"/>
  <c r="R12" i="17"/>
  <c r="R24" i="17" s="1"/>
  <c r="P12" i="17"/>
  <c r="P24" i="17" s="1"/>
  <c r="Q12" i="17"/>
  <c r="Q24" i="17" s="1"/>
  <c r="O12" i="17"/>
  <c r="S12" i="17"/>
  <c r="S24" i="17" s="1"/>
  <c r="R13" i="17"/>
  <c r="P13" i="17"/>
  <c r="P25" i="17" s="1"/>
  <c r="S13" i="17"/>
  <c r="S25" i="17" s="1"/>
  <c r="Q13" i="17"/>
  <c r="Q25" i="17" s="1"/>
  <c r="O13" i="17"/>
  <c r="R14" i="17"/>
  <c r="S14" i="17"/>
  <c r="S26" i="17" s="1"/>
  <c r="P14" i="17"/>
  <c r="O14" i="17"/>
  <c r="T14" i="17" s="1"/>
  <c r="U14" i="17" s="1"/>
  <c r="Q14" i="17"/>
  <c r="Q26" i="17" s="1"/>
  <c r="R9" i="17"/>
  <c r="R21" i="17" s="1"/>
  <c r="P9" i="17"/>
  <c r="S9" i="17"/>
  <c r="O9" i="17"/>
  <c r="H19" i="12"/>
  <c r="F12" i="12"/>
  <c r="F19" i="12" s="1"/>
  <c r="H16" i="12"/>
  <c r="F9" i="12"/>
  <c r="F16" i="12" s="1"/>
  <c r="J9" i="9"/>
  <c r="H9" i="9" s="1"/>
  <c r="I38" i="2"/>
  <c r="I45" i="2" s="1"/>
  <c r="P8" i="4"/>
  <c r="N6" i="4"/>
  <c r="K14" i="4"/>
  <c r="J17" i="9"/>
  <c r="H17" i="9" s="1"/>
  <c r="I16" i="9"/>
  <c r="R11" i="10"/>
  <c r="R18" i="10" s="1"/>
  <c r="M33" i="10"/>
  <c r="M40" i="10" s="1"/>
  <c r="N12" i="9"/>
  <c r="N19" i="9" s="1"/>
  <c r="P30" i="10"/>
  <c r="P37" i="10" s="1"/>
  <c r="Q9" i="9"/>
  <c r="Q16" i="9" s="1"/>
  <c r="P12" i="12"/>
  <c r="P19" i="12" s="1"/>
  <c r="N11" i="14"/>
  <c r="N18" i="14" s="1"/>
  <c r="M9" i="14"/>
  <c r="M16" i="14" s="1"/>
  <c r="M10" i="14"/>
  <c r="M17" i="14" s="1"/>
  <c r="P31" i="1"/>
  <c r="P38" i="1" s="1"/>
  <c r="P9" i="2"/>
  <c r="P10" i="4"/>
  <c r="L8" i="4"/>
  <c r="I6" i="4"/>
  <c r="R6" i="4"/>
  <c r="R10" i="4"/>
  <c r="F31" i="10"/>
  <c r="F38" i="10" s="1"/>
  <c r="N8" i="10"/>
  <c r="N15" i="10" s="1"/>
  <c r="Q31" i="10"/>
  <c r="Q38" i="10" s="1"/>
  <c r="Q12" i="9"/>
  <c r="Q19" i="9" s="1"/>
  <c r="L13" i="14"/>
  <c r="L20" i="14" s="1"/>
  <c r="I18" i="14"/>
  <c r="F6" i="4"/>
  <c r="E10" i="13"/>
  <c r="I22" i="2"/>
  <c r="L10" i="4"/>
  <c r="F8" i="4"/>
  <c r="K6" i="4"/>
  <c r="K10" i="4"/>
  <c r="Q9" i="10"/>
  <c r="Q16" i="10" s="1"/>
  <c r="N9" i="10"/>
  <c r="N16" i="10" s="1"/>
  <c r="Q32" i="10"/>
  <c r="Q39" i="10" s="1"/>
  <c r="H10" i="14"/>
  <c r="R11" i="12"/>
  <c r="R18" i="12" s="1"/>
  <c r="G19" i="12"/>
  <c r="G10" i="13"/>
  <c r="G13" i="13" s="1"/>
  <c r="P13" i="4"/>
  <c r="I10" i="4"/>
  <c r="P7" i="4"/>
  <c r="F5" i="4"/>
  <c r="T5" i="4" s="1"/>
  <c r="R7" i="4"/>
  <c r="F10" i="8"/>
  <c r="R9" i="10"/>
  <c r="R16" i="10" s="1"/>
  <c r="M11" i="9"/>
  <c r="M18" i="9" s="1"/>
  <c r="P9" i="12"/>
  <c r="P16" i="12" s="1"/>
  <c r="M12" i="12"/>
  <c r="M19" i="12" s="1"/>
  <c r="R10" i="12"/>
  <c r="R17" i="12" s="1"/>
  <c r="Q13" i="14"/>
  <c r="Q20" i="14" s="1"/>
  <c r="O11" i="14"/>
  <c r="O18" i="14" s="1"/>
  <c r="F10" i="13"/>
  <c r="F13" i="13" s="1"/>
  <c r="M11" i="12"/>
  <c r="M18" i="12" s="1"/>
  <c r="N22" i="17"/>
  <c r="G10" i="8"/>
  <c r="M9" i="10"/>
  <c r="M16" i="10" s="1"/>
  <c r="H10" i="11"/>
  <c r="H13" i="11" s="1"/>
  <c r="M12" i="9"/>
  <c r="G16" i="12"/>
  <c r="J13" i="14"/>
  <c r="J20" i="14" s="1"/>
  <c r="H20" i="14" s="1"/>
  <c r="H10" i="13"/>
  <c r="N12" i="12"/>
  <c r="N19" i="12" s="1"/>
  <c r="M13" i="14"/>
  <c r="M20" i="14" s="1"/>
  <c r="J23" i="17"/>
  <c r="Q23" i="17"/>
  <c r="N23" i="17"/>
  <c r="H10" i="3"/>
  <c r="H13" i="3" s="1"/>
  <c r="J11" i="9"/>
  <c r="J18" i="9" s="1"/>
  <c r="Q11" i="14"/>
  <c r="Q18" i="14" s="1"/>
  <c r="N24" i="17"/>
  <c r="O12" i="2"/>
  <c r="T17" i="4"/>
  <c r="I13" i="4"/>
  <c r="I7" i="4"/>
  <c r="L11" i="4"/>
  <c r="O8" i="10"/>
  <c r="O15" i="10" s="1"/>
  <c r="O11" i="10"/>
  <c r="O18" i="10" s="1"/>
  <c r="O11" i="9"/>
  <c r="O18" i="9" s="1"/>
  <c r="P9" i="9"/>
  <c r="P16" i="9" s="1"/>
  <c r="F11" i="12"/>
  <c r="F18" i="12" s="1"/>
  <c r="J9" i="14"/>
  <c r="H9" i="14" s="1"/>
  <c r="M11" i="14"/>
  <c r="M18" i="14" s="1"/>
  <c r="J10" i="14"/>
  <c r="J17" i="14" s="1"/>
  <c r="N25" i="17"/>
  <c r="R25" i="17"/>
  <c r="O25" i="17"/>
  <c r="J10" i="2"/>
  <c r="T30" i="4"/>
  <c r="F10" i="3"/>
  <c r="F13" i="3" s="1"/>
  <c r="K12" i="14"/>
  <c r="P11" i="9"/>
  <c r="P18" i="9" s="1"/>
  <c r="N10" i="14"/>
  <c r="N17" i="14" s="1"/>
  <c r="L11" i="14"/>
  <c r="L18" i="14" s="1"/>
  <c r="K18" i="14" s="1"/>
  <c r="O10" i="14"/>
  <c r="O17" i="14" s="1"/>
  <c r="L14" i="17"/>
  <c r="N26" i="17"/>
  <c r="P26" i="17"/>
  <c r="E10" i="11"/>
  <c r="E13" i="11" s="1"/>
  <c r="E14" i="11" s="1"/>
  <c r="P12" i="9"/>
  <c r="P19" i="9" s="1"/>
  <c r="H17" i="14"/>
  <c r="J11" i="14"/>
  <c r="J18" i="14" s="1"/>
  <c r="O10" i="2"/>
  <c r="T22" i="4"/>
  <c r="J19" i="9"/>
  <c r="H19" i="9" s="1"/>
  <c r="T9" i="4"/>
  <c r="E10" i="3"/>
  <c r="I18" i="9"/>
  <c r="H18" i="9" s="1"/>
  <c r="H10" i="8"/>
  <c r="O31" i="10"/>
  <c r="O38" i="10" s="1"/>
  <c r="I38" i="10" s="1"/>
  <c r="J38" i="10" s="1"/>
  <c r="K38" i="10" s="1"/>
  <c r="O13" i="14"/>
  <c r="O20" i="14" s="1"/>
  <c r="O9" i="12"/>
  <c r="O16" i="12" s="1"/>
  <c r="P21" i="17"/>
  <c r="E14" i="15"/>
  <c r="L17" i="14"/>
  <c r="J11" i="2"/>
  <c r="S12" i="2"/>
  <c r="E13" i="3"/>
  <c r="H30" i="1"/>
  <c r="H13" i="8"/>
  <c r="I32" i="10"/>
  <c r="J32" i="10" s="1"/>
  <c r="K32" i="10" s="1"/>
  <c r="I17" i="12"/>
  <c r="V11" i="4"/>
  <c r="Q10" i="2"/>
  <c r="Y11" i="2"/>
  <c r="L9" i="2"/>
  <c r="P10" i="2"/>
  <c r="X11" i="2"/>
  <c r="N9" i="2"/>
  <c r="V10" i="2"/>
  <c r="K18" i="9"/>
  <c r="H32" i="1"/>
  <c r="H38" i="1"/>
  <c r="I38" i="1" s="1"/>
  <c r="I31" i="1"/>
  <c r="J31" i="1" s="1"/>
  <c r="K19" i="14"/>
  <c r="E13" i="13"/>
  <c r="E14" i="13" s="1"/>
  <c r="I9" i="12"/>
  <c r="J9" i="12" s="1"/>
  <c r="K9" i="12" s="1"/>
  <c r="F13" i="8"/>
  <c r="I33" i="10"/>
  <c r="J33" i="10" s="1"/>
  <c r="K33" i="10" s="1"/>
  <c r="K11" i="9"/>
  <c r="G13" i="8"/>
  <c r="I31" i="10"/>
  <c r="J31" i="10" s="1"/>
  <c r="K31" i="10" s="1"/>
  <c r="I11" i="12"/>
  <c r="J11" i="12" s="1"/>
  <c r="K11" i="12" s="1"/>
  <c r="H13" i="13"/>
  <c r="I19" i="12"/>
  <c r="J19" i="12" s="1"/>
  <c r="K19" i="12" s="1"/>
  <c r="H39" i="10"/>
  <c r="F32" i="10"/>
  <c r="F39" i="10" s="1"/>
  <c r="F10" i="12"/>
  <c r="F17" i="12" s="1"/>
  <c r="H17" i="12"/>
  <c r="T11" i="2"/>
  <c r="M10" i="2"/>
  <c r="E13" i="8"/>
  <c r="E14" i="8" s="1"/>
  <c r="I30" i="10"/>
  <c r="J30" i="10" s="1"/>
  <c r="K30" i="10" s="1"/>
  <c r="I20" i="2"/>
  <c r="P14" i="4"/>
  <c r="O8" i="2"/>
  <c r="M9" i="1"/>
  <c r="M16" i="1" s="1"/>
  <c r="N8" i="2"/>
  <c r="N14" i="4"/>
  <c r="L12" i="4"/>
  <c r="R14" i="4"/>
  <c r="N33" i="1"/>
  <c r="N40" i="1" s="1"/>
  <c r="F30" i="10"/>
  <c r="F37" i="10" s="1"/>
  <c r="I20" i="9"/>
  <c r="H20" i="9" s="1"/>
  <c r="R33" i="10"/>
  <c r="R40" i="10" s="1"/>
  <c r="R10" i="10"/>
  <c r="R17" i="10" s="1"/>
  <c r="N13" i="9"/>
  <c r="N20" i="9" s="1"/>
  <c r="H12" i="14"/>
  <c r="H13" i="14"/>
  <c r="P9" i="14"/>
  <c r="P16" i="14" s="1"/>
  <c r="P13" i="14"/>
  <c r="P20" i="14" s="1"/>
  <c r="K20" i="14" s="1"/>
  <c r="M8" i="2"/>
  <c r="W13" i="2"/>
  <c r="F38" i="1"/>
  <c r="L14" i="4"/>
  <c r="I12" i="4"/>
  <c r="N11" i="1"/>
  <c r="N18" i="1" s="1"/>
  <c r="N33" i="10"/>
  <c r="N40" i="10" s="1"/>
  <c r="P11" i="10"/>
  <c r="P18" i="10" s="1"/>
  <c r="R32" i="10"/>
  <c r="R39" i="10" s="1"/>
  <c r="P31" i="10"/>
  <c r="P38" i="10" s="1"/>
  <c r="N16" i="9"/>
  <c r="O17" i="9"/>
  <c r="J16" i="9"/>
  <c r="H16" i="9" s="1"/>
  <c r="Q10" i="9"/>
  <c r="Q17" i="9" s="1"/>
  <c r="R9" i="12"/>
  <c r="R16" i="12" s="1"/>
  <c r="I16" i="14"/>
  <c r="M9" i="2"/>
  <c r="F14" i="4"/>
  <c r="R30" i="10"/>
  <c r="R37" i="10" s="1"/>
  <c r="R8" i="10"/>
  <c r="R15" i="10" s="1"/>
  <c r="O30" i="10"/>
  <c r="O37" i="10" s="1"/>
  <c r="O31" i="1"/>
  <c r="O38" i="1" s="1"/>
  <c r="O9" i="1"/>
  <c r="O16" i="1" s="1"/>
  <c r="R12" i="4"/>
  <c r="M30" i="10"/>
  <c r="M37" i="10" s="1"/>
  <c r="G18" i="12"/>
  <c r="O9" i="2"/>
  <c r="Q9" i="2"/>
  <c r="J8" i="2"/>
  <c r="J36" i="2" s="1"/>
  <c r="J43" i="2" s="1"/>
  <c r="F40" i="1"/>
  <c r="P11" i="1"/>
  <c r="P18" i="1" s="1"/>
  <c r="N30" i="10"/>
  <c r="N37" i="10" s="1"/>
  <c r="O32" i="10"/>
  <c r="O39" i="10" s="1"/>
  <c r="I39" i="10" s="1"/>
  <c r="J39" i="10" s="1"/>
  <c r="K39" i="10" s="1"/>
  <c r="G40" i="10"/>
  <c r="H13" i="9"/>
  <c r="K11" i="14"/>
  <c r="Q10" i="14"/>
  <c r="Q17" i="14" s="1"/>
  <c r="L9" i="14"/>
  <c r="Q31" i="1"/>
  <c r="Q38" i="1" s="1"/>
  <c r="P9" i="1"/>
  <c r="P16" i="1" s="1"/>
  <c r="I27" i="2"/>
  <c r="G13" i="3"/>
  <c r="Q13" i="9"/>
  <c r="Q20" i="9" s="1"/>
  <c r="N31" i="1"/>
  <c r="N38" i="1" s="1"/>
  <c r="M31" i="1"/>
  <c r="M38" i="1" s="1"/>
  <c r="Q9" i="1"/>
  <c r="Q16" i="1" s="1"/>
  <c r="P33" i="1"/>
  <c r="P40" i="1" s="1"/>
  <c r="P10" i="14"/>
  <c r="P17" i="14" s="1"/>
  <c r="I36" i="2"/>
  <c r="I43" i="2" s="1"/>
  <c r="Q8" i="2"/>
  <c r="N9" i="12"/>
  <c r="N16" i="12" s="1"/>
  <c r="I16" i="12" s="1"/>
  <c r="J16" i="12" s="1"/>
  <c r="Q11" i="12"/>
  <c r="Q18" i="12" s="1"/>
  <c r="I18" i="12" s="1"/>
  <c r="J18" i="12" s="1"/>
  <c r="K18" i="12" s="1"/>
  <c r="N9" i="14"/>
  <c r="N16" i="14" s="1"/>
  <c r="L31" i="1"/>
  <c r="L38" i="1" s="1"/>
  <c r="P8" i="10"/>
  <c r="P15" i="10" s="1"/>
  <c r="M12" i="17"/>
  <c r="L12" i="17"/>
  <c r="I25" i="17"/>
  <c r="J21" i="17"/>
  <c r="L10" i="17"/>
  <c r="I21" i="17"/>
  <c r="M10" i="17"/>
  <c r="M14" i="17"/>
  <c r="L9" i="17"/>
  <c r="I22" i="17"/>
  <c r="I26" i="17"/>
  <c r="M9" i="17"/>
  <c r="L13" i="17"/>
  <c r="J24" i="17"/>
  <c r="H12" i="17"/>
  <c r="J26" i="17"/>
  <c r="M13" i="17"/>
  <c r="I24" i="17"/>
  <c r="L11" i="17"/>
  <c r="H11" i="17"/>
  <c r="I23" i="17"/>
  <c r="R26" i="17"/>
  <c r="M11" i="17"/>
  <c r="O14" i="23" l="1"/>
  <c r="O25" i="23"/>
  <c r="L25" i="23" s="1"/>
  <c r="U13" i="23"/>
  <c r="V13" i="23" s="1"/>
  <c r="L13" i="23"/>
  <c r="T13" i="17"/>
  <c r="U13" i="17" s="1"/>
  <c r="T11" i="17"/>
  <c r="U11" i="17" s="1"/>
  <c r="T9" i="17"/>
  <c r="U9" i="17" s="1"/>
  <c r="O22" i="17"/>
  <c r="T10" i="17"/>
  <c r="U10" i="17" s="1"/>
  <c r="O24" i="17"/>
  <c r="K24" i="17" s="1"/>
  <c r="T12" i="17"/>
  <c r="U12" i="17" s="1"/>
  <c r="S21" i="17"/>
  <c r="H23" i="17"/>
  <c r="J37" i="2"/>
  <c r="J44" i="2" s="1"/>
  <c r="J22" i="2"/>
  <c r="H18" i="14"/>
  <c r="H11" i="14"/>
  <c r="K16" i="12"/>
  <c r="K8" i="2"/>
  <c r="K20" i="9"/>
  <c r="I12" i="12"/>
  <c r="J12" i="12" s="1"/>
  <c r="K12" i="12" s="1"/>
  <c r="M19" i="9"/>
  <c r="K19" i="9" s="1"/>
  <c r="K12" i="9"/>
  <c r="K17" i="9"/>
  <c r="I10" i="12"/>
  <c r="J10" i="12" s="1"/>
  <c r="K10" i="12" s="1"/>
  <c r="H33" i="1"/>
  <c r="H40" i="1" s="1"/>
  <c r="T6" i="4"/>
  <c r="K9" i="9"/>
  <c r="J16" i="14"/>
  <c r="H16" i="14" s="1"/>
  <c r="H11" i="9"/>
  <c r="K13" i="14"/>
  <c r="K16" i="9"/>
  <c r="F14" i="15"/>
  <c r="H14" i="15"/>
  <c r="H15" i="15" s="1"/>
  <c r="G14" i="15"/>
  <c r="G15" i="15" s="1"/>
  <c r="K36" i="2"/>
  <c r="K43" i="2" s="1"/>
  <c r="K20" i="2"/>
  <c r="L10" i="2"/>
  <c r="K9" i="2"/>
  <c r="K21" i="2" s="1"/>
  <c r="K10" i="9"/>
  <c r="L16" i="14"/>
  <c r="K16" i="14" s="1"/>
  <c r="K9" i="14"/>
  <c r="Y12" i="2"/>
  <c r="Q11" i="2"/>
  <c r="S13" i="2"/>
  <c r="J12" i="2"/>
  <c r="O13" i="2"/>
  <c r="W14" i="2"/>
  <c r="H39" i="1"/>
  <c r="I39" i="1" s="1"/>
  <c r="J39" i="1" s="1"/>
  <c r="I32" i="1"/>
  <c r="J32" i="1" s="1"/>
  <c r="H37" i="1"/>
  <c r="I37" i="1" s="1"/>
  <c r="J37" i="1" s="1"/>
  <c r="I30" i="1"/>
  <c r="J30" i="1" s="1"/>
  <c r="J23" i="2"/>
  <c r="N10" i="2"/>
  <c r="V11" i="2"/>
  <c r="T12" i="2"/>
  <c r="M11" i="2"/>
  <c r="H26" i="17"/>
  <c r="T12" i="4"/>
  <c r="K13" i="9"/>
  <c r="J38" i="1"/>
  <c r="J17" i="12"/>
  <c r="K17" i="12" s="1"/>
  <c r="K10" i="14"/>
  <c r="I37" i="10"/>
  <c r="J37" i="10" s="1"/>
  <c r="K37" i="10" s="1"/>
  <c r="I40" i="10"/>
  <c r="J40" i="10" s="1"/>
  <c r="K40" i="10" s="1"/>
  <c r="X12" i="2"/>
  <c r="P11" i="2"/>
  <c r="K17" i="14"/>
  <c r="K22" i="17"/>
  <c r="H21" i="17"/>
  <c r="H9" i="17"/>
  <c r="K12" i="17"/>
  <c r="K10" i="17"/>
  <c r="H10" i="17"/>
  <c r="J22" i="17"/>
  <c r="H22" i="17" s="1"/>
  <c r="K11" i="17"/>
  <c r="O23" i="17"/>
  <c r="K23" i="17" s="1"/>
  <c r="O21" i="17"/>
  <c r="O26" i="17"/>
  <c r="K26" i="17" s="1"/>
  <c r="K14" i="17"/>
  <c r="K25" i="17"/>
  <c r="K13" i="17"/>
  <c r="H14" i="17"/>
  <c r="H24" i="17"/>
  <c r="H13" i="17"/>
  <c r="J25" i="17"/>
  <c r="H25" i="17" s="1"/>
  <c r="O26" i="23" l="1"/>
  <c r="L26" i="23" s="1"/>
  <c r="U14" i="23"/>
  <c r="V14" i="23" s="1"/>
  <c r="L14" i="23"/>
  <c r="Q12" i="2"/>
  <c r="Y13" i="2"/>
  <c r="P12" i="2"/>
  <c r="X13" i="2"/>
  <c r="V12" i="2"/>
  <c r="N11" i="2"/>
  <c r="T13" i="2"/>
  <c r="M12" i="2"/>
  <c r="K10" i="2"/>
  <c r="L11" i="2"/>
  <c r="O14" i="2"/>
  <c r="W15" i="2"/>
  <c r="J38" i="2"/>
  <c r="J45" i="2" s="1"/>
  <c r="J24" i="2"/>
  <c r="S14" i="2"/>
  <c r="J13" i="2"/>
  <c r="J25" i="2" s="1"/>
  <c r="W16" i="2" l="1"/>
  <c r="O15" i="2"/>
  <c r="L12" i="2"/>
  <c r="K11" i="2"/>
  <c r="K37" i="2"/>
  <c r="K44" i="2" s="1"/>
  <c r="K22" i="2"/>
  <c r="V13" i="2"/>
  <c r="N12" i="2"/>
  <c r="S15" i="2"/>
  <c r="J14" i="2"/>
  <c r="T14" i="2"/>
  <c r="M13" i="2"/>
  <c r="X14" i="2"/>
  <c r="P13" i="2"/>
  <c r="Q13" i="2"/>
  <c r="Y14" i="2"/>
  <c r="O16" i="2" l="1"/>
  <c r="W17" i="2"/>
  <c r="O17" i="2" s="1"/>
  <c r="N13" i="2"/>
  <c r="V14" i="2"/>
  <c r="P14" i="2"/>
  <c r="X15" i="2"/>
  <c r="K18" i="2"/>
  <c r="J39" i="2"/>
  <c r="J26" i="2"/>
  <c r="T15" i="2"/>
  <c r="M14" i="2"/>
  <c r="Q14" i="2"/>
  <c r="Y15" i="2"/>
  <c r="K23" i="2"/>
  <c r="F11" i="2"/>
  <c r="S16" i="2"/>
  <c r="J15" i="2"/>
  <c r="J27" i="2" s="1"/>
  <c r="K12" i="2"/>
  <c r="L13" i="2"/>
  <c r="K13" i="2" l="1"/>
  <c r="K25" i="2" s="1"/>
  <c r="L14" i="2"/>
  <c r="T16" i="2"/>
  <c r="M15" i="2"/>
  <c r="K24" i="2"/>
  <c r="K38" i="2"/>
  <c r="K45" i="2" s="1"/>
  <c r="X16" i="2"/>
  <c r="P15" i="2"/>
  <c r="S17" i="2"/>
  <c r="J17" i="2" s="1"/>
  <c r="J29" i="2" s="1"/>
  <c r="J16" i="2"/>
  <c r="N14" i="2"/>
  <c r="V15" i="2"/>
  <c r="Y16" i="2"/>
  <c r="Q15" i="2"/>
  <c r="J46" i="2"/>
  <c r="J41" i="2"/>
  <c r="J28" i="2" l="1"/>
  <c r="J40" i="2"/>
  <c r="J47" i="2" s="1"/>
  <c r="T17" i="2"/>
  <c r="M17" i="2" s="1"/>
  <c r="M16" i="2"/>
  <c r="V16" i="2"/>
  <c r="N15" i="2"/>
  <c r="X17" i="2"/>
  <c r="P17" i="2" s="1"/>
  <c r="P16" i="2"/>
  <c r="L15" i="2"/>
  <c r="K14" i="2"/>
  <c r="Q16" i="2"/>
  <c r="Y17" i="2"/>
  <c r="Q17" i="2" s="1"/>
  <c r="L16" i="2" l="1"/>
  <c r="K15" i="2"/>
  <c r="K27" i="2" s="1"/>
  <c r="K39" i="2"/>
  <c r="K26" i="2"/>
  <c r="N16" i="2"/>
  <c r="V17" i="2"/>
  <c r="N17" i="2" s="1"/>
  <c r="K46" i="2" l="1"/>
  <c r="F39" i="2"/>
  <c r="L17" i="2"/>
  <c r="K17" i="2" s="1"/>
  <c r="K29" i="2" s="1"/>
  <c r="K16" i="2"/>
  <c r="K28" i="2" l="1"/>
  <c r="K40" i="2"/>
  <c r="K47" i="2" s="1"/>
  <c r="N21" i="17"/>
  <c r="K21" i="17" s="1"/>
  <c r="K9" i="1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Nelms, Pam K.</author>
  </authors>
  <commentList>
    <comment ref="R5" authorId="0" shapeId="0" xr:uid="{00000000-0006-0000-0200-000001000000}">
      <text>
        <r>
          <rPr>
            <b/>
            <sz val="8"/>
            <color indexed="81"/>
            <rFont val="Tahoma"/>
            <family val="2"/>
          </rPr>
          <t>Nelms, Pam K.:</t>
        </r>
        <r>
          <rPr>
            <sz val="8"/>
            <color indexed="81"/>
            <rFont val="Tahoma"/>
            <family val="2"/>
          </rPr>
          <t xml:space="preserve">
Wage percent off journeyman.</t>
        </r>
      </text>
    </comment>
    <comment ref="S5" authorId="0" shapeId="0" xr:uid="{00000000-0006-0000-0200-000002000000}">
      <text>
        <r>
          <rPr>
            <b/>
            <sz val="8"/>
            <color indexed="81"/>
            <rFont val="Tahoma"/>
            <family val="2"/>
          </rPr>
          <t>Nelms, Pam K.:</t>
        </r>
        <r>
          <rPr>
            <sz val="8"/>
            <color indexed="81"/>
            <rFont val="Tahoma"/>
            <family val="2"/>
          </rPr>
          <t xml:space="preserve">
V/H vacation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Nelms, Pam K.</author>
    <author xml:space="preserve">Nelms, Pam </author>
  </authors>
  <commentList>
    <comment ref="M26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Nelms, Pam K.:</t>
        </r>
        <r>
          <rPr>
            <sz val="9"/>
            <color indexed="81"/>
            <rFont val="Tahoma"/>
            <family val="2"/>
          </rPr>
          <t xml:space="preserve">
Health And Welfare OT rate does not multiply. It pays straight-time rate for all hours worked. </t>
        </r>
      </text>
    </comment>
    <comment ref="I27" authorId="1" shapeId="0" xr:uid="{00000000-0006-0000-0400-000002000000}">
      <text>
        <r>
          <rPr>
            <b/>
            <sz val="9"/>
            <color indexed="81"/>
            <rFont val="Tahoma"/>
            <family val="2"/>
          </rPr>
          <t>Nelms, Pam :</t>
        </r>
        <r>
          <rPr>
            <sz val="9"/>
            <color indexed="81"/>
            <rFont val="Tahoma"/>
            <family val="2"/>
          </rPr>
          <t xml:space="preserve">
Health And Welfare OT rate does not multiply. It pays straight-time rate for all hours worked. 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Nelms, Pam K.</author>
    <author xml:space="preserve">Nelms, Pam </author>
  </authors>
  <commentList>
    <comment ref="M5" authorId="0" shapeId="0" xr:uid="{00000000-0006-0000-0600-000001000000}">
      <text>
        <r>
          <rPr>
            <b/>
            <sz val="9"/>
            <color indexed="81"/>
            <rFont val="Tahoma"/>
            <family val="2"/>
          </rPr>
          <t>Nelms, Pam K.:</t>
        </r>
        <r>
          <rPr>
            <sz val="9"/>
            <color indexed="81"/>
            <rFont val="Tahoma"/>
            <family val="2"/>
          </rPr>
          <t xml:space="preserve">
Health And Welfare OT rate does not multiply. It pays straight-time rate for all hours worked. </t>
        </r>
      </text>
    </comment>
    <comment ref="I6" authorId="1" shapeId="0" xr:uid="{00000000-0006-0000-0600-000002000000}">
      <text>
        <r>
          <rPr>
            <b/>
            <sz val="9"/>
            <color indexed="81"/>
            <rFont val="Tahoma"/>
            <family val="2"/>
          </rPr>
          <t>Nelms, Pam :</t>
        </r>
        <r>
          <rPr>
            <sz val="9"/>
            <color indexed="81"/>
            <rFont val="Tahoma"/>
            <family val="2"/>
          </rPr>
          <t xml:space="preserve">
Health And Welfare OT rate does not multiply. It pays straight-time rate for all hours worked. 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Miller, Brenda </author>
  </authors>
  <commentList>
    <comment ref="J7" authorId="0" shapeId="0" xr:uid="{CF46BEEA-455F-4948-8395-00A22305ECE0}">
      <text>
        <r>
          <rPr>
            <b/>
            <sz val="9"/>
            <color indexed="81"/>
            <rFont val="Tahoma"/>
            <family val="2"/>
          </rPr>
          <t>Miller, Brenda :</t>
        </r>
        <r>
          <rPr>
            <sz val="9"/>
            <color indexed="81"/>
            <rFont val="Tahoma"/>
            <family val="2"/>
          </rPr>
          <t xml:space="preserve">
Used Personal Savings numbers in 2020</t>
        </r>
      </text>
    </comment>
    <comment ref="T7" authorId="0" shapeId="0" xr:uid="{39467BEF-1BDA-4C4A-AC74-A10FA0A78FD9}">
      <text>
        <r>
          <rPr>
            <b/>
            <sz val="9"/>
            <color indexed="81"/>
            <rFont val="Tahoma"/>
            <family val="2"/>
          </rPr>
          <t>Miller, Brenda :</t>
        </r>
        <r>
          <rPr>
            <sz val="9"/>
            <color indexed="81"/>
            <rFont val="Tahoma"/>
            <family val="2"/>
          </rPr>
          <t xml:space="preserve">
Compare to Total Benefit
number on provided sheet</t>
        </r>
      </text>
    </comment>
    <comment ref="U7" authorId="0" shapeId="0" xr:uid="{7F8DB564-86E5-4F9C-98CA-044F79F6FA3E}">
      <text>
        <r>
          <rPr>
            <b/>
            <sz val="9"/>
            <color indexed="81"/>
            <rFont val="Tahoma"/>
            <family val="2"/>
          </rPr>
          <t>Miller, Brenda :</t>
        </r>
        <r>
          <rPr>
            <sz val="9"/>
            <color indexed="81"/>
            <rFont val="Tahoma"/>
            <family val="2"/>
          </rPr>
          <t xml:space="preserve">
Compare to Total Rate
number on provided sheet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Miller, Brenda </author>
  </authors>
  <commentList>
    <comment ref="B18" authorId="0" shapeId="0" xr:uid="{0B7539D5-EC41-4A9A-A76D-E83FFD875A5C}">
      <text>
        <r>
          <rPr>
            <sz val="9"/>
            <color indexed="81"/>
            <rFont val="Tahoma"/>
            <family val="2"/>
          </rPr>
          <t xml:space="preserve">Had to contact union to confirm
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Miller, Brenda </author>
  </authors>
  <commentList>
    <comment ref="F18" authorId="0" shapeId="0" xr:uid="{72A47600-E494-45C3-9302-17864E9674D3}">
      <text>
        <r>
          <rPr>
            <sz val="9"/>
            <color indexed="81"/>
            <rFont val="Tahoma"/>
            <family val="2"/>
          </rPr>
          <t xml:space="preserve">Had to contact union to confirm percentage.
</t>
        </r>
      </text>
    </comment>
    <comment ref="D29" authorId="0" shapeId="0" xr:uid="{B2F5EFB8-B83E-4125-9869-42A5A38439A2}">
      <text>
        <r>
          <rPr>
            <sz val="9"/>
            <color indexed="81"/>
            <rFont val="Tahoma"/>
            <family val="2"/>
          </rPr>
          <t>Per union, working dues haven't changed.</t>
        </r>
      </text>
    </comment>
  </commentList>
</comments>
</file>

<file path=xl/sharedStrings.xml><?xml version="1.0" encoding="utf-8"?>
<sst xmlns="http://schemas.openxmlformats.org/spreadsheetml/2006/main" count="1193" uniqueCount="185">
  <si>
    <t>Non</t>
  </si>
  <si>
    <t>Taxable</t>
  </si>
  <si>
    <t>Hourly</t>
  </si>
  <si>
    <t xml:space="preserve">Taxable </t>
  </si>
  <si>
    <t>Fringe</t>
  </si>
  <si>
    <t>FLSA</t>
  </si>
  <si>
    <t>OTC</t>
  </si>
  <si>
    <t>CODE</t>
  </si>
  <si>
    <t>CLASSIFICATION</t>
  </si>
  <si>
    <t>P</t>
  </si>
  <si>
    <t>Rate</t>
  </si>
  <si>
    <t>Vacation</t>
  </si>
  <si>
    <t>Benefit</t>
  </si>
  <si>
    <t xml:space="preserve"> </t>
  </si>
  <si>
    <t>N</t>
  </si>
  <si>
    <t>C91200</t>
  </si>
  <si>
    <t xml:space="preserve">Electrician (temporary) </t>
  </si>
  <si>
    <t>H</t>
  </si>
  <si>
    <t>C91805</t>
  </si>
  <si>
    <t xml:space="preserve">Foreman, Electrician, (temporary) </t>
  </si>
  <si>
    <t>C91810</t>
  </si>
  <si>
    <t>Foreman, (Master) Electrician (temp)</t>
  </si>
  <si>
    <t>OVERTIME RATES:</t>
  </si>
  <si>
    <t xml:space="preserve">Foreman, Electrician (temporary) </t>
  </si>
  <si>
    <t>Provided that new temporary trades personnel, and temporary trades</t>
  </si>
  <si>
    <t>personnel currently on the city payroll not vested in PERA, shall be included</t>
  </si>
  <si>
    <t>in the program to send benefit funds to the Building Trades Trust Funds.</t>
  </si>
  <si>
    <t xml:space="preserve">Provided that a night shift differential of $1.65 per hour for each hour, or fraction thereof, they </t>
  </si>
  <si>
    <t xml:space="preserve">actually work, shall be paid to all employees assigned to a second shift (any full work shift which </t>
  </si>
  <si>
    <t>begins between the hours of 12:01 p.m. and 6:00 p.m.) of the employer's signal truck operation.</t>
  </si>
  <si>
    <t>Electrician (Apprentice)</t>
  </si>
  <si>
    <t xml:space="preserve">       1st Period</t>
  </si>
  <si>
    <t xml:space="preserve">       2nd Period</t>
  </si>
  <si>
    <t xml:space="preserve">       3rd Period</t>
  </si>
  <si>
    <t xml:space="preserve">       4th Period</t>
  </si>
  <si>
    <t xml:space="preserve">       5th Period</t>
  </si>
  <si>
    <t xml:space="preserve">       6th Period</t>
  </si>
  <si>
    <t xml:space="preserve">       7th Period</t>
  </si>
  <si>
    <t xml:space="preserve">       8th Period</t>
  </si>
  <si>
    <t xml:space="preserve">       9th Period</t>
  </si>
  <si>
    <t xml:space="preserve">     10th Period</t>
  </si>
  <si>
    <t>NEBF</t>
  </si>
  <si>
    <t>Local Pension</t>
  </si>
  <si>
    <t xml:space="preserve">Annuity </t>
  </si>
  <si>
    <t>Health and Welfare</t>
  </si>
  <si>
    <t>JATC</t>
  </si>
  <si>
    <t>%</t>
  </si>
  <si>
    <t>Journeyman</t>
  </si>
  <si>
    <t>Foreman</t>
  </si>
  <si>
    <t>Master/GF</t>
  </si>
  <si>
    <t>Non taxable, Fringe</t>
  </si>
  <si>
    <t>W%</t>
  </si>
  <si>
    <t>V%</t>
  </si>
  <si>
    <t>HW</t>
  </si>
  <si>
    <t>P %</t>
  </si>
  <si>
    <t>AnnSub</t>
  </si>
  <si>
    <t>LMCC</t>
  </si>
  <si>
    <t xml:space="preserve"> * Note that LMCC is paid by city for temp employees</t>
  </si>
  <si>
    <t>Total Fringe</t>
  </si>
  <si>
    <t>Total Package</t>
  </si>
  <si>
    <t xml:space="preserve">      4th Period</t>
  </si>
  <si>
    <t>Breakdown of Non-Taxable Fringe Benefits</t>
  </si>
  <si>
    <t>Health/Welfare</t>
  </si>
  <si>
    <t>Annuity/Sub Plan</t>
  </si>
  <si>
    <t>APPRENTICE RATES Effective May 1, 2011</t>
  </si>
  <si>
    <t>Overtime and Holiday Pay</t>
  </si>
  <si>
    <t>For Apprentices indentured prior to 5/1/06</t>
  </si>
  <si>
    <t>For Apprentices hired after 5/1/06</t>
  </si>
  <si>
    <t>ELECTRICIANS TEMPORARY (CX1) Effective October 1, 2011</t>
  </si>
  <si>
    <t>Provided that Working Dues Deductions of 3% of Gross Wages to  be submitted from Pay of each IBEW Member.</t>
  </si>
  <si>
    <t>IBEW Local 292 Inside Construction and Maintenance Agreement October 2011 Wage Rates</t>
  </si>
  <si>
    <t>Area 1</t>
  </si>
  <si>
    <t>Effective October 1st, 2011</t>
  </si>
  <si>
    <t>Wage</t>
  </si>
  <si>
    <t>P Sav</t>
  </si>
  <si>
    <t>H &amp; W</t>
  </si>
  <si>
    <t>Pension</t>
  </si>
  <si>
    <t>Ann / Sub</t>
  </si>
  <si>
    <t>Total</t>
  </si>
  <si>
    <t>Apprentice</t>
  </si>
  <si>
    <t>1st</t>
  </si>
  <si>
    <t>2nd</t>
  </si>
  <si>
    <t>3rd</t>
  </si>
  <si>
    <t>4th</t>
  </si>
  <si>
    <t>5th</t>
  </si>
  <si>
    <t>6th</t>
  </si>
  <si>
    <t>7th</t>
  </si>
  <si>
    <t>8th</t>
  </si>
  <si>
    <t>9th</t>
  </si>
  <si>
    <t>10th</t>
  </si>
  <si>
    <t>Resi App</t>
  </si>
  <si>
    <t>5/01/09-10/31/09</t>
  </si>
  <si>
    <t>11/01/09-4/30/10</t>
  </si>
  <si>
    <t>RW*</t>
  </si>
  <si>
    <t>JW</t>
  </si>
  <si>
    <t>CS/Welder</t>
  </si>
  <si>
    <t>GF</t>
  </si>
  <si>
    <t>2nd GF</t>
  </si>
  <si>
    <t xml:space="preserve">Time and half paid after 8 hrs in one day, 40 hrs in a week, and on Saturday. Double time paid on Sundays and recognized holidays. </t>
  </si>
  <si>
    <t xml:space="preserve">"Recognized holidays" are the same as what Permanent City Electricians observe. </t>
  </si>
  <si>
    <t>Welder/Splicer</t>
  </si>
  <si>
    <t>Cable Splicer/Welder</t>
  </si>
  <si>
    <t>ELECTRICIANS TEMPORARY (CX1) Effective May 1, 2009</t>
  </si>
  <si>
    <t>Note: Cable Spicer/Welder classification effective 5/1/2011</t>
  </si>
  <si>
    <t>C91140</t>
  </si>
  <si>
    <t xml:space="preserve">ELECTRICIANS TEMPORARY (CX1) </t>
  </si>
  <si>
    <t>Allocations for January 1 2013 rates</t>
  </si>
  <si>
    <t xml:space="preserve">All fringe benefits except the Health and Welfare contribution are paid as a percentage of payroll. </t>
  </si>
  <si>
    <t xml:space="preserve">The Health and Welfare contribution is based upon the straight time rate for all hours worked. </t>
  </si>
  <si>
    <t>Example of Non-Taxable Fringe benefits when employee is at time and a half</t>
  </si>
  <si>
    <t>Taxable Vacation</t>
  </si>
  <si>
    <t>Total Non Taxable Fringe Benefit</t>
  </si>
  <si>
    <t>Breakdown of Non-Taxable Fringe Benefit</t>
  </si>
  <si>
    <t>N/A</t>
  </si>
  <si>
    <t xml:space="preserve">Rate </t>
  </si>
  <si>
    <t>HRIS (includes Vacation)</t>
  </si>
  <si>
    <t>Fringe Benefits</t>
  </si>
  <si>
    <t xml:space="preserve">Provided that new temporary trades personnel, and temporary trades personnel currently on the city payroll </t>
  </si>
  <si>
    <t>not vested in PERA, shall be included in the program to send benefit funds to the Building Trades Trust Funds.</t>
  </si>
  <si>
    <t>Shift Differential</t>
  </si>
  <si>
    <t>Building Trades Trust Funds</t>
  </si>
  <si>
    <t>DUES</t>
  </si>
  <si>
    <t>HRIS Hourly Rate (Hourly Base Rate + Taxable Vacation)</t>
  </si>
  <si>
    <t>Hourly Base Rate</t>
  </si>
  <si>
    <t>Dues</t>
  </si>
  <si>
    <t>Job Title</t>
  </si>
  <si>
    <t>All hours worked in excess of regular hours on regular work days Monday through Friday inclusive, shall be paid for at one and one-half</t>
  </si>
  <si>
    <t xml:space="preserve"> (1&amp;1/2) times the regular rate of straight time up to 12:00 midnight. However, worked performed in excess of ten (10) hours in a </t>
  </si>
  <si>
    <t xml:space="preserve">workday will be paid at double time.  All other times shall be paid for at double the rate of straight time which includes Saturdays, </t>
  </si>
  <si>
    <t xml:space="preserve">There shall be no duplication or pyramiding of these overtime/premium provisions. </t>
  </si>
  <si>
    <t xml:space="preserve">Sundays, and any day recognized by the Agreement as a holiday, and for any work performed on an emergency call-back basis. </t>
  </si>
  <si>
    <t>ELECTRICIANS TEMPORARY (CX1) Effective May 1, 2016</t>
  </si>
  <si>
    <t>APPRENTICE RATES Effective May 1, 2016</t>
  </si>
  <si>
    <r>
      <t xml:space="preserve">Provided that Working Dues Deductions of 3% of Gross Wages to  be </t>
    </r>
    <r>
      <rPr>
        <u/>
        <sz val="10"/>
        <rFont val="Calibri"/>
        <family val="2"/>
        <scheme val="minor"/>
      </rPr>
      <t xml:space="preserve">submitted from Pay </t>
    </r>
    <r>
      <rPr>
        <sz val="10"/>
        <rFont val="Calibri"/>
        <family val="2"/>
        <scheme val="minor"/>
      </rPr>
      <t>of each IBEW Member.</t>
    </r>
  </si>
  <si>
    <t>Package</t>
  </si>
  <si>
    <t xml:space="preserve">Total </t>
  </si>
  <si>
    <t>Non Taxable Fringe</t>
  </si>
  <si>
    <t>ELECTRICIANS TEMPORARY (CX1) Effective May 1, 2017</t>
  </si>
  <si>
    <t xml:space="preserve">No shift differential is paid for shift work of less than 5 consecutive days assignment. </t>
  </si>
  <si>
    <t>Day Shift</t>
  </si>
  <si>
    <t>Swing Shift</t>
  </si>
  <si>
    <t>Night Shift</t>
  </si>
  <si>
    <t>8:00 AM  - 4:30 PM</t>
  </si>
  <si>
    <t>12:30:00 AM - 8:00 AM</t>
  </si>
  <si>
    <t>4:30 PM - 12:30 AM</t>
  </si>
  <si>
    <t>No Shift Differential</t>
  </si>
  <si>
    <t>10% of the regular hourly rate</t>
  </si>
  <si>
    <t xml:space="preserve">Shift </t>
  </si>
  <si>
    <t>Start and end time</t>
  </si>
  <si>
    <t>Shift differential paid</t>
  </si>
  <si>
    <t>APPRENTICE RATES Effective May 1, 2017</t>
  </si>
  <si>
    <t xml:space="preserve">Assignment to at least five consecutive days of shifts are eligible for a shift differential as follows: </t>
  </si>
  <si>
    <t xml:space="preserve">15% of the regularly hourly rate </t>
  </si>
  <si>
    <t xml:space="preserve">10% of the regular hourly rate = </t>
  </si>
  <si>
    <t>Swing shift</t>
  </si>
  <si>
    <t xml:space="preserve">      1st Period</t>
  </si>
  <si>
    <t xml:space="preserve">      2nd Period</t>
  </si>
  <si>
    <t>Each period is 6 months in length</t>
  </si>
  <si>
    <r>
      <t xml:space="preserve">Provided that Working Dues Deductions of 3.25% of Gross Wages to  be </t>
    </r>
    <r>
      <rPr>
        <u/>
        <sz val="10"/>
        <rFont val="Calibri"/>
        <family val="2"/>
        <scheme val="minor"/>
      </rPr>
      <t xml:space="preserve">submitted from Pay </t>
    </r>
    <r>
      <rPr>
        <sz val="10"/>
        <rFont val="Calibri"/>
        <family val="2"/>
        <scheme val="minor"/>
      </rPr>
      <t>of each IBEW Member.</t>
    </r>
  </si>
  <si>
    <t>Electrician (Pre-Apprentice)</t>
  </si>
  <si>
    <t>No benefits</t>
  </si>
  <si>
    <t>NBEF</t>
  </si>
  <si>
    <t>Ann./Sub</t>
  </si>
  <si>
    <t>ELECTRICIANS TEMPORARY (CX1) Effective May 1, 2020</t>
  </si>
  <si>
    <t>NLMCC</t>
  </si>
  <si>
    <t>Annuity/Sub</t>
  </si>
  <si>
    <t>ELECTRICIANS TEMPORARY (CX1) Effective May 1, 2021</t>
  </si>
  <si>
    <t>Personal Savings/Vacation</t>
  </si>
  <si>
    <t>Health Care</t>
  </si>
  <si>
    <t>LMCC &amp; NLMCC</t>
  </si>
  <si>
    <t>Healthcare</t>
  </si>
  <si>
    <t>Total Benefits</t>
  </si>
  <si>
    <t>Total Rate</t>
  </si>
  <si>
    <t>APPRENTICE RATES Effective May 1, 2021</t>
  </si>
  <si>
    <t>Job Code</t>
  </si>
  <si>
    <t>C91800</t>
  </si>
  <si>
    <t>52927C</t>
  </si>
  <si>
    <t xml:space="preserve">Sundays, and any day recognized by the Agreement as a holiday (including Juneteenth), and for any work performed on an emergency call-back basis. </t>
  </si>
  <si>
    <t>Base Rate</t>
  </si>
  <si>
    <r>
      <t xml:space="preserve">Provided that Working Dues Deductions of 3.25% of Gross Wages to be </t>
    </r>
    <r>
      <rPr>
        <u/>
        <sz val="10"/>
        <rFont val="Calibri"/>
        <family val="2"/>
        <scheme val="minor"/>
      </rPr>
      <t xml:space="preserve">submitted from Pay </t>
    </r>
    <r>
      <rPr>
        <sz val="10"/>
        <rFont val="Calibri"/>
        <family val="2"/>
        <scheme val="minor"/>
      </rPr>
      <t>of each IBEW Member.</t>
    </r>
  </si>
  <si>
    <t>Health &amp; Welfare</t>
  </si>
  <si>
    <t>ELECTRICIANS TEMPORARY (CX1) Effective May 6, 2024</t>
  </si>
  <si>
    <t>APPRENTICE RATES Effective May 6, 2024</t>
  </si>
  <si>
    <t>P Sav %</t>
  </si>
  <si>
    <t>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</si>
</sst>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8">
    <numFmt numFmtId="8" formatCode="&quot;$&quot;#,##0.00_);[Red]\(&quot;$&quot;#,##0.00\)"/>
    <numFmt numFmtId="44" formatCode="_(&quot;$&quot;* #,##0.00_);_(&quot;$&quot;* \(#,##0.00\);_(&quot;$&quot;* &quot;-&quot;??_);_(@_)"/>
    <numFmt numFmtId="164" formatCode="0.00_)"/>
    <numFmt numFmtId="165" formatCode="0.0"/>
    <numFmt numFmtId="166" formatCode="&quot;$&quot;#,##0.00"/>
    <numFmt numFmtId="167" formatCode="&quot;$&quot;#,##0.000"/>
    <numFmt numFmtId="168" formatCode="0.0000"/>
    <numFmt numFmtId="169" formatCode="0.0%"/>
  </numFmts>
  <fonts count="33" x14ac:knownFonts="1">
    <font>
      <sz val="10"/>
      <name val="Arial"/>
    </font>
    <font>
      <b/>
      <sz val="9"/>
      <name val="Helv"/>
    </font>
    <font>
      <sz val="12"/>
      <name val="Helv"/>
    </font>
    <font>
      <b/>
      <sz val="8"/>
      <name val="Helv"/>
    </font>
    <font>
      <sz val="9"/>
      <name val="Helv"/>
    </font>
    <font>
      <sz val="8"/>
      <name val="Arial"/>
      <family val="2"/>
    </font>
    <font>
      <sz val="8"/>
      <name val="Helv"/>
    </font>
    <font>
      <b/>
      <sz val="8"/>
      <color indexed="13"/>
      <name val="Helv"/>
    </font>
    <font>
      <b/>
      <sz val="8"/>
      <color indexed="14"/>
      <name val="Helv"/>
    </font>
    <font>
      <b/>
      <sz val="10"/>
      <name val="Arial"/>
      <family val="2"/>
    </font>
    <font>
      <sz val="10"/>
      <name val="Arial"/>
      <family val="2"/>
    </font>
    <font>
      <b/>
      <u/>
      <sz val="8"/>
      <name val="Helv"/>
    </font>
    <font>
      <u/>
      <sz val="1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12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name val="Calibri"/>
      <family val="2"/>
      <scheme val="minor"/>
    </font>
    <font>
      <sz val="10"/>
      <name val="Calibri"/>
      <family val="2"/>
      <scheme val="minor"/>
    </font>
    <font>
      <b/>
      <sz val="8"/>
      <name val="Calibri"/>
      <family val="2"/>
      <scheme val="minor"/>
    </font>
    <font>
      <b/>
      <sz val="10"/>
      <name val="Calibri"/>
      <family val="2"/>
      <scheme val="minor"/>
    </font>
    <font>
      <sz val="9"/>
      <name val="Calibri"/>
      <family val="2"/>
      <scheme val="minor"/>
    </font>
    <font>
      <b/>
      <u/>
      <sz val="10"/>
      <name val="Calibri"/>
      <family val="2"/>
      <scheme val="minor"/>
    </font>
    <font>
      <sz val="10"/>
      <color rgb="FF0070C0"/>
      <name val="Calibri"/>
      <family val="2"/>
      <scheme val="minor"/>
    </font>
    <font>
      <b/>
      <sz val="10"/>
      <color rgb="FF0070C0"/>
      <name val="Calibri"/>
      <family val="2"/>
      <scheme val="minor"/>
    </font>
    <font>
      <sz val="10"/>
      <color indexed="14"/>
      <name val="Calibri"/>
      <family val="2"/>
      <scheme val="minor"/>
    </font>
    <font>
      <b/>
      <sz val="12"/>
      <name val="Calibri"/>
      <family val="2"/>
      <scheme val="minor"/>
    </font>
    <font>
      <u/>
      <sz val="10"/>
      <name val="Calibri"/>
      <family val="2"/>
      <scheme val="minor"/>
    </font>
    <font>
      <i/>
      <sz val="1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66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3" fontId="2" fillId="0" borderId="0"/>
    <xf numFmtId="0" fontId="10" fillId="0" borderId="0"/>
    <xf numFmtId="9" fontId="30" fillId="0" borderId="0" applyFont="0" applyFill="0" applyBorder="0" applyAlignment="0" applyProtection="0"/>
    <xf numFmtId="44" fontId="31" fillId="0" borderId="0" applyFont="0" applyFill="0" applyBorder="0" applyAlignment="0" applyProtection="0"/>
  </cellStyleXfs>
  <cellXfs count="234">
    <xf numFmtId="0" fontId="0" fillId="0" borderId="0" xfId="0"/>
    <xf numFmtId="3" fontId="1" fillId="0" borderId="0" xfId="1" applyFont="1" applyAlignment="1">
      <alignment horizontal="center"/>
    </xf>
    <xf numFmtId="164" fontId="1" fillId="0" borderId="0" xfId="1" applyNumberFormat="1" applyFont="1" applyAlignment="1">
      <alignment horizontal="center"/>
    </xf>
    <xf numFmtId="164" fontId="3" fillId="0" borderId="0" xfId="1" applyNumberFormat="1" applyFont="1" applyAlignment="1">
      <alignment horizontal="center"/>
    </xf>
    <xf numFmtId="3" fontId="1" fillId="0" borderId="0" xfId="1" applyFont="1" applyAlignment="1">
      <alignment horizontal="left"/>
    </xf>
    <xf numFmtId="3" fontId="3" fillId="0" borderId="0" xfId="1" applyFont="1" applyAlignment="1">
      <alignment horizontal="center"/>
    </xf>
    <xf numFmtId="3" fontId="4" fillId="0" borderId="0" xfId="1" quotePrefix="1" applyFont="1" applyAlignment="1">
      <alignment horizontal="left"/>
    </xf>
    <xf numFmtId="3" fontId="1" fillId="0" borderId="0" xfId="1" quotePrefix="1" applyFont="1" applyAlignment="1">
      <alignment horizontal="center"/>
    </xf>
    <xf numFmtId="3" fontId="1" fillId="0" borderId="0" xfId="1" quotePrefix="1" applyFont="1" applyAlignment="1">
      <alignment horizontal="left"/>
    </xf>
    <xf numFmtId="3" fontId="4" fillId="0" borderId="0" xfId="1" applyFont="1"/>
    <xf numFmtId="3" fontId="3" fillId="0" borderId="0" xfId="1" applyFont="1" applyAlignment="1">
      <alignment horizontal="left"/>
    </xf>
    <xf numFmtId="3" fontId="4" fillId="0" borderId="0" xfId="1" applyFont="1" applyAlignment="1">
      <alignment horizontal="center"/>
    </xf>
    <xf numFmtId="3" fontId="6" fillId="0" borderId="0" xfId="1" applyFont="1"/>
    <xf numFmtId="3" fontId="7" fillId="0" borderId="0" xfId="1" applyFont="1" applyAlignment="1">
      <alignment horizontal="center"/>
    </xf>
    <xf numFmtId="164" fontId="7" fillId="0" borderId="0" xfId="1" applyNumberFormat="1" applyFont="1" applyAlignment="1">
      <alignment horizontal="center"/>
    </xf>
    <xf numFmtId="164" fontId="8" fillId="0" borderId="0" xfId="1" applyNumberFormat="1" applyFont="1" applyAlignment="1">
      <alignment horizontal="center"/>
    </xf>
    <xf numFmtId="3" fontId="3" fillId="0" borderId="0" xfId="1" quotePrefix="1" applyFont="1" applyAlignment="1">
      <alignment horizontal="center"/>
    </xf>
    <xf numFmtId="4" fontId="3" fillId="0" borderId="0" xfId="1" applyNumberFormat="1" applyFont="1" applyAlignment="1">
      <alignment horizontal="center"/>
    </xf>
    <xf numFmtId="3" fontId="6" fillId="0" borderId="0" xfId="1" applyFont="1" applyAlignment="1">
      <alignment horizontal="center"/>
    </xf>
    <xf numFmtId="3" fontId="3" fillId="2" borderId="0" xfId="1" applyFont="1" applyFill="1" applyAlignment="1">
      <alignment horizontal="left"/>
    </xf>
    <xf numFmtId="3" fontId="3" fillId="2" borderId="0" xfId="1" applyFont="1" applyFill="1" applyAlignment="1">
      <alignment horizontal="center"/>
    </xf>
    <xf numFmtId="2" fontId="0" fillId="0" borderId="0" xfId="0" applyNumberFormat="1"/>
    <xf numFmtId="166" fontId="0" fillId="0" borderId="0" xfId="0" applyNumberFormat="1"/>
    <xf numFmtId="167" fontId="0" fillId="0" borderId="0" xfId="0" applyNumberFormat="1"/>
    <xf numFmtId="0" fontId="9" fillId="0" borderId="0" xfId="0" applyFont="1"/>
    <xf numFmtId="0" fontId="10" fillId="0" borderId="0" xfId="0" applyFont="1"/>
    <xf numFmtId="0" fontId="0" fillId="0" borderId="0" xfId="0" applyAlignment="1">
      <alignment horizontal="center"/>
    </xf>
    <xf numFmtId="165" fontId="0" fillId="0" borderId="0" xfId="0" applyNumberFormat="1"/>
    <xf numFmtId="3" fontId="11" fillId="0" borderId="0" xfId="1" applyFont="1" applyAlignment="1">
      <alignment horizontal="left"/>
    </xf>
    <xf numFmtId="0" fontId="12" fillId="0" borderId="0" xfId="0" applyFont="1"/>
    <xf numFmtId="2" fontId="0" fillId="3" borderId="0" xfId="0" applyNumberFormat="1" applyFill="1"/>
    <xf numFmtId="3" fontId="3" fillId="4" borderId="0" xfId="1" applyFont="1" applyFill="1" applyAlignment="1">
      <alignment horizontal="left"/>
    </xf>
    <xf numFmtId="3" fontId="3" fillId="4" borderId="0" xfId="1" applyFont="1" applyFill="1" applyAlignment="1">
      <alignment horizontal="center"/>
    </xf>
    <xf numFmtId="164" fontId="3" fillId="4" borderId="0" xfId="1" applyNumberFormat="1" applyFont="1" applyFill="1" applyAlignment="1">
      <alignment horizontal="center"/>
    </xf>
    <xf numFmtId="0" fontId="0" fillId="4" borderId="0" xfId="0" applyFill="1"/>
    <xf numFmtId="2" fontId="10" fillId="0" borderId="0" xfId="0" applyNumberFormat="1" applyFont="1"/>
    <xf numFmtId="4" fontId="6" fillId="0" borderId="0" xfId="1" applyNumberFormat="1" applyFont="1" applyAlignment="1">
      <alignment horizontal="center"/>
    </xf>
    <xf numFmtId="2" fontId="0" fillId="4" borderId="0" xfId="0" applyNumberFormat="1" applyFill="1"/>
    <xf numFmtId="164" fontId="0" fillId="0" borderId="0" xfId="0" applyNumberFormat="1"/>
    <xf numFmtId="0" fontId="10" fillId="0" borderId="0" xfId="2"/>
    <xf numFmtId="0" fontId="10" fillId="0" borderId="1" xfId="2" applyBorder="1"/>
    <xf numFmtId="0" fontId="10" fillId="0" borderId="4" xfId="2" applyBorder="1"/>
    <xf numFmtId="166" fontId="10" fillId="0" borderId="0" xfId="2" applyNumberFormat="1"/>
    <xf numFmtId="0" fontId="10" fillId="0" borderId="5" xfId="2" applyBorder="1"/>
    <xf numFmtId="10" fontId="10" fillId="0" borderId="5" xfId="2" applyNumberFormat="1" applyBorder="1"/>
    <xf numFmtId="166" fontId="10" fillId="0" borderId="4" xfId="2" applyNumberFormat="1" applyBorder="1"/>
    <xf numFmtId="0" fontId="9" fillId="0" borderId="0" xfId="2" applyFont="1" applyAlignment="1">
      <alignment horizontal="right"/>
    </xf>
    <xf numFmtId="0" fontId="9" fillId="0" borderId="0" xfId="2" applyFont="1"/>
    <xf numFmtId="0" fontId="9" fillId="0" borderId="4" xfId="2" applyFont="1" applyBorder="1"/>
    <xf numFmtId="166" fontId="9" fillId="0" borderId="0" xfId="2" applyNumberFormat="1" applyFont="1"/>
    <xf numFmtId="10" fontId="9" fillId="0" borderId="5" xfId="2" applyNumberFormat="1" applyFont="1" applyBorder="1"/>
    <xf numFmtId="166" fontId="9" fillId="0" borderId="4" xfId="2" applyNumberFormat="1" applyFont="1" applyBorder="1"/>
    <xf numFmtId="0" fontId="10" fillId="0" borderId="0" xfId="2" applyAlignment="1">
      <alignment horizontal="right"/>
    </xf>
    <xf numFmtId="0" fontId="10" fillId="0" borderId="0" xfId="2" applyAlignment="1">
      <alignment horizontal="left"/>
    </xf>
    <xf numFmtId="166" fontId="10" fillId="0" borderId="4" xfId="2" applyNumberFormat="1" applyBorder="1" applyAlignment="1">
      <alignment horizontal="center"/>
    </xf>
    <xf numFmtId="166" fontId="10" fillId="0" borderId="5" xfId="2" applyNumberFormat="1" applyBorder="1" applyAlignment="1">
      <alignment horizontal="center"/>
    </xf>
    <xf numFmtId="0" fontId="10" fillId="0" borderId="6" xfId="2" applyBorder="1"/>
    <xf numFmtId="166" fontId="10" fillId="0" borderId="7" xfId="2" applyNumberFormat="1" applyBorder="1"/>
    <xf numFmtId="10" fontId="10" fillId="0" borderId="8" xfId="2" applyNumberFormat="1" applyBorder="1"/>
    <xf numFmtId="166" fontId="10" fillId="0" borderId="6" xfId="2" applyNumberFormat="1" applyBorder="1"/>
    <xf numFmtId="0" fontId="9" fillId="4" borderId="0" xfId="2" applyFont="1" applyFill="1" applyAlignment="1">
      <alignment horizontal="right"/>
    </xf>
    <xf numFmtId="0" fontId="9" fillId="4" borderId="0" xfId="2" applyFont="1" applyFill="1"/>
    <xf numFmtId="0" fontId="9" fillId="4" borderId="4" xfId="2" applyFont="1" applyFill="1" applyBorder="1"/>
    <xf numFmtId="166" fontId="9" fillId="4" borderId="0" xfId="2" applyNumberFormat="1" applyFont="1" applyFill="1"/>
    <xf numFmtId="10" fontId="9" fillId="4" borderId="5" xfId="2" applyNumberFormat="1" applyFont="1" applyFill="1" applyBorder="1"/>
    <xf numFmtId="166" fontId="9" fillId="4" borderId="4" xfId="2" applyNumberFormat="1" applyFont="1" applyFill="1" applyBorder="1"/>
    <xf numFmtId="166" fontId="10" fillId="4" borderId="0" xfId="2" applyNumberFormat="1" applyFill="1"/>
    <xf numFmtId="0" fontId="10" fillId="4" borderId="0" xfId="2" applyFill="1"/>
    <xf numFmtId="3" fontId="3" fillId="3" borderId="0" xfId="1" applyFont="1" applyFill="1" applyAlignment="1">
      <alignment horizontal="left"/>
    </xf>
    <xf numFmtId="3" fontId="3" fillId="3" borderId="0" xfId="1" applyFont="1" applyFill="1" applyAlignment="1">
      <alignment horizontal="center"/>
    </xf>
    <xf numFmtId="164" fontId="3" fillId="3" borderId="0" xfId="1" applyNumberFormat="1" applyFont="1" applyFill="1" applyAlignment="1">
      <alignment horizontal="center"/>
    </xf>
    <xf numFmtId="4" fontId="3" fillId="3" borderId="0" xfId="1" applyNumberFormat="1" applyFont="1" applyFill="1" applyAlignment="1">
      <alignment horizontal="center"/>
    </xf>
    <xf numFmtId="2" fontId="10" fillId="3" borderId="0" xfId="0" applyNumberFormat="1" applyFont="1" applyFill="1"/>
    <xf numFmtId="4" fontId="6" fillId="3" borderId="0" xfId="1" applyNumberFormat="1" applyFont="1" applyFill="1" applyAlignment="1">
      <alignment horizontal="center"/>
    </xf>
    <xf numFmtId="0" fontId="0" fillId="3" borderId="0" xfId="0" applyFill="1"/>
    <xf numFmtId="3" fontId="18" fillId="0" borderId="0" xfId="1" applyFont="1" applyAlignment="1">
      <alignment horizontal="left"/>
    </xf>
    <xf numFmtId="0" fontId="19" fillId="0" borderId="0" xfId="0" applyFont="1"/>
    <xf numFmtId="3" fontId="18" fillId="0" borderId="0" xfId="1" applyFont="1" applyAlignment="1">
      <alignment horizontal="center"/>
    </xf>
    <xf numFmtId="164" fontId="18" fillId="0" borderId="0" xfId="1" applyNumberFormat="1" applyFont="1" applyAlignment="1">
      <alignment horizontal="center"/>
    </xf>
    <xf numFmtId="164" fontId="20" fillId="0" borderId="0" xfId="1" applyNumberFormat="1" applyFont="1" applyAlignment="1">
      <alignment horizontal="center"/>
    </xf>
    <xf numFmtId="0" fontId="21" fillId="0" borderId="0" xfId="0" applyFont="1"/>
    <xf numFmtId="0" fontId="19" fillId="0" borderId="0" xfId="0" applyFont="1" applyAlignment="1">
      <alignment horizontal="center"/>
    </xf>
    <xf numFmtId="3" fontId="20" fillId="0" borderId="0" xfId="1" applyFont="1" applyAlignment="1">
      <alignment horizontal="center"/>
    </xf>
    <xf numFmtId="3" fontId="22" fillId="0" borderId="0" xfId="1" quotePrefix="1" applyFont="1" applyAlignment="1">
      <alignment horizontal="left"/>
    </xf>
    <xf numFmtId="3" fontId="18" fillId="0" borderId="0" xfId="1" quotePrefix="1" applyFont="1" applyAlignment="1">
      <alignment horizontal="center"/>
    </xf>
    <xf numFmtId="3" fontId="18" fillId="0" borderId="0" xfId="1" quotePrefix="1" applyFont="1" applyAlignment="1">
      <alignment horizontal="left"/>
    </xf>
    <xf numFmtId="165" fontId="19" fillId="0" borderId="0" xfId="0" applyNumberFormat="1" applyFont="1"/>
    <xf numFmtId="166" fontId="19" fillId="0" borderId="0" xfId="0" applyNumberFormat="1" applyFont="1"/>
    <xf numFmtId="3" fontId="22" fillId="0" borderId="0" xfId="1" applyFont="1"/>
    <xf numFmtId="168" fontId="19" fillId="0" borderId="0" xfId="0" applyNumberFormat="1" applyFont="1" applyAlignment="1">
      <alignment horizontal="left" indent="2"/>
    </xf>
    <xf numFmtId="3" fontId="22" fillId="0" borderId="0" xfId="1" applyFont="1" applyAlignment="1">
      <alignment horizontal="center"/>
    </xf>
    <xf numFmtId="3" fontId="21" fillId="0" borderId="0" xfId="1" applyFont="1" applyAlignment="1">
      <alignment horizontal="left"/>
    </xf>
    <xf numFmtId="3" fontId="21" fillId="0" borderId="0" xfId="1" applyFont="1" applyAlignment="1">
      <alignment horizontal="center"/>
    </xf>
    <xf numFmtId="3" fontId="23" fillId="0" borderId="0" xfId="1" applyFont="1" applyAlignment="1">
      <alignment horizontal="left"/>
    </xf>
    <xf numFmtId="3" fontId="19" fillId="0" borderId="0" xfId="1" applyFont="1" applyAlignment="1">
      <alignment horizontal="left"/>
    </xf>
    <xf numFmtId="3" fontId="19" fillId="0" borderId="0" xfId="1" applyFont="1" applyAlignment="1">
      <alignment horizontal="center"/>
    </xf>
    <xf numFmtId="0" fontId="21" fillId="0" borderId="7" xfId="0" applyFont="1" applyBorder="1"/>
    <xf numFmtId="0" fontId="19" fillId="0" borderId="7" xfId="0" applyFont="1" applyBorder="1"/>
    <xf numFmtId="164" fontId="21" fillId="0" borderId="0" xfId="1" applyNumberFormat="1" applyFont="1" applyAlignment="1">
      <alignment horizontal="center"/>
    </xf>
    <xf numFmtId="3" fontId="21" fillId="0" borderId="0" xfId="1" applyFont="1" applyAlignment="1">
      <alignment horizontal="center" wrapText="1"/>
    </xf>
    <xf numFmtId="3" fontId="19" fillId="0" borderId="0" xfId="1" quotePrefix="1" applyFont="1" applyAlignment="1">
      <alignment horizontal="left"/>
    </xf>
    <xf numFmtId="3" fontId="19" fillId="0" borderId="0" xfId="1" applyFont="1"/>
    <xf numFmtId="164" fontId="19" fillId="0" borderId="0" xfId="1" applyNumberFormat="1" applyFont="1" applyAlignment="1">
      <alignment horizontal="center"/>
    </xf>
    <xf numFmtId="3" fontId="19" fillId="0" borderId="0" xfId="1" quotePrefix="1" applyFont="1" applyAlignment="1">
      <alignment horizontal="center"/>
    </xf>
    <xf numFmtId="0" fontId="24" fillId="0" borderId="0" xfId="0" applyFont="1"/>
    <xf numFmtId="3" fontId="21" fillId="0" borderId="0" xfId="1" applyFont="1" applyAlignment="1">
      <alignment horizontal="center" textRotation="90"/>
    </xf>
    <xf numFmtId="3" fontId="25" fillId="0" borderId="0" xfId="1" applyFont="1" applyAlignment="1">
      <alignment horizontal="center" textRotation="90"/>
    </xf>
    <xf numFmtId="2" fontId="19" fillId="0" borderId="0" xfId="0" applyNumberFormat="1" applyFont="1"/>
    <xf numFmtId="164" fontId="19" fillId="0" borderId="0" xfId="0" applyNumberFormat="1" applyFont="1"/>
    <xf numFmtId="3" fontId="21" fillId="0" borderId="0" xfId="1" applyFont="1" applyAlignment="1">
      <alignment horizontal="center" textRotation="90" wrapText="1"/>
    </xf>
    <xf numFmtId="164" fontId="26" fillId="0" borderId="0" xfId="1" applyNumberFormat="1" applyFont="1" applyAlignment="1">
      <alignment horizontal="center"/>
    </xf>
    <xf numFmtId="164" fontId="24" fillId="0" borderId="0" xfId="1" applyNumberFormat="1" applyFont="1" applyAlignment="1">
      <alignment horizontal="center"/>
    </xf>
    <xf numFmtId="3" fontId="27" fillId="0" borderId="0" xfId="1" applyFont="1" applyAlignment="1">
      <alignment horizontal="left"/>
    </xf>
    <xf numFmtId="3" fontId="27" fillId="0" borderId="0" xfId="1" applyFont="1" applyAlignment="1">
      <alignment horizontal="center"/>
    </xf>
    <xf numFmtId="0" fontId="25" fillId="0" borderId="0" xfId="0" applyFont="1"/>
    <xf numFmtId="18" fontId="19" fillId="0" borderId="0" xfId="0" applyNumberFormat="1" applyFont="1"/>
    <xf numFmtId="3" fontId="21" fillId="0" borderId="9" xfId="1" applyFont="1" applyBorder="1" applyAlignment="1">
      <alignment horizontal="left"/>
    </xf>
    <xf numFmtId="0" fontId="19" fillId="0" borderId="10" xfId="0" applyFont="1" applyBorder="1"/>
    <xf numFmtId="0" fontId="19" fillId="0" borderId="11" xfId="0" applyFont="1" applyBorder="1"/>
    <xf numFmtId="3" fontId="19" fillId="0" borderId="12" xfId="1" applyFont="1" applyBorder="1" applyAlignment="1">
      <alignment horizontal="left"/>
    </xf>
    <xf numFmtId="0" fontId="19" fillId="0" borderId="13" xfId="0" applyFont="1" applyBorder="1"/>
    <xf numFmtId="3" fontId="21" fillId="0" borderId="12" xfId="1" applyFont="1" applyBorder="1" applyAlignment="1">
      <alignment horizontal="left"/>
    </xf>
    <xf numFmtId="3" fontId="19" fillId="0" borderId="14" xfId="1" applyFont="1" applyBorder="1" applyAlignment="1">
      <alignment horizontal="left"/>
    </xf>
    <xf numFmtId="18" fontId="19" fillId="0" borderId="15" xfId="0" applyNumberFormat="1" applyFont="1" applyBorder="1"/>
    <xf numFmtId="0" fontId="19" fillId="0" borderId="15" xfId="0" applyFont="1" applyBorder="1"/>
    <xf numFmtId="0" fontId="19" fillId="0" borderId="16" xfId="0" applyFont="1" applyBorder="1"/>
    <xf numFmtId="3" fontId="27" fillId="0" borderId="0" xfId="1" applyFont="1" applyAlignment="1" applyProtection="1">
      <alignment horizontal="left"/>
      <protection hidden="1"/>
    </xf>
    <xf numFmtId="3" fontId="27" fillId="0" borderId="0" xfId="1" applyFont="1" applyAlignment="1" applyProtection="1">
      <alignment horizontal="center"/>
      <protection hidden="1"/>
    </xf>
    <xf numFmtId="2" fontId="27" fillId="0" borderId="0" xfId="1" applyNumberFormat="1" applyFont="1" applyAlignment="1" applyProtection="1">
      <alignment horizontal="center"/>
      <protection hidden="1"/>
    </xf>
    <xf numFmtId="3" fontId="19" fillId="0" borderId="0" xfId="1" applyFont="1" applyAlignment="1" applyProtection="1">
      <alignment horizontal="center"/>
      <protection hidden="1"/>
    </xf>
    <xf numFmtId="164" fontId="19" fillId="0" borderId="0" xfId="1" applyNumberFormat="1" applyFont="1" applyAlignment="1" applyProtection="1">
      <alignment horizontal="center"/>
      <protection hidden="1"/>
    </xf>
    <xf numFmtId="0" fontId="19" fillId="0" borderId="0" xfId="0" applyFont="1" applyProtection="1">
      <protection hidden="1"/>
    </xf>
    <xf numFmtId="3" fontId="19" fillId="0" borderId="0" xfId="1" applyFont="1" applyAlignment="1" applyProtection="1">
      <alignment horizontal="left"/>
      <protection hidden="1"/>
    </xf>
    <xf numFmtId="2" fontId="19" fillId="0" borderId="0" xfId="1" applyNumberFormat="1" applyFont="1" applyAlignment="1" applyProtection="1">
      <alignment horizontal="center"/>
      <protection hidden="1"/>
    </xf>
    <xf numFmtId="3" fontId="19" fillId="0" borderId="0" xfId="1" applyFont="1" applyProtection="1">
      <protection hidden="1"/>
    </xf>
    <xf numFmtId="0" fontId="24" fillId="0" borderId="0" xfId="0" applyFont="1" applyProtection="1">
      <protection hidden="1"/>
    </xf>
    <xf numFmtId="3" fontId="21" fillId="0" borderId="0" xfId="1" applyFont="1" applyAlignment="1" applyProtection="1">
      <alignment horizontal="center"/>
      <protection hidden="1"/>
    </xf>
    <xf numFmtId="164" fontId="26" fillId="0" borderId="0" xfId="1" applyNumberFormat="1" applyFont="1" applyAlignment="1" applyProtection="1">
      <alignment horizontal="center"/>
      <protection hidden="1"/>
    </xf>
    <xf numFmtId="3" fontId="19" fillId="0" borderId="0" xfId="1" quotePrefix="1" applyFont="1" applyAlignment="1" applyProtection="1">
      <alignment horizontal="center"/>
      <protection hidden="1"/>
    </xf>
    <xf numFmtId="2" fontId="19" fillId="0" borderId="0" xfId="0" applyNumberFormat="1" applyFont="1" applyProtection="1">
      <protection hidden="1"/>
    </xf>
    <xf numFmtId="3" fontId="21" fillId="0" borderId="0" xfId="1" applyFont="1" applyAlignment="1" applyProtection="1">
      <alignment horizontal="left"/>
      <protection hidden="1"/>
    </xf>
    <xf numFmtId="2" fontId="19" fillId="0" borderId="0" xfId="0" applyNumberFormat="1" applyFont="1" applyAlignment="1" applyProtection="1">
      <alignment horizontal="center"/>
      <protection hidden="1"/>
    </xf>
    <xf numFmtId="0" fontId="21" fillId="0" borderId="0" xfId="0" applyFont="1" applyProtection="1">
      <protection hidden="1"/>
    </xf>
    <xf numFmtId="3" fontId="21" fillId="0" borderId="9" xfId="1" applyFont="1" applyBorder="1" applyAlignment="1" applyProtection="1">
      <alignment horizontal="left"/>
      <protection hidden="1"/>
    </xf>
    <xf numFmtId="0" fontId="19" fillId="0" borderId="10" xfId="0" applyFont="1" applyBorder="1" applyProtection="1">
      <protection hidden="1"/>
    </xf>
    <xf numFmtId="2" fontId="19" fillId="0" borderId="10" xfId="0" applyNumberFormat="1" applyFont="1" applyBorder="1" applyAlignment="1" applyProtection="1">
      <alignment horizontal="center"/>
      <protection hidden="1"/>
    </xf>
    <xf numFmtId="0" fontId="19" fillId="0" borderId="11" xfId="0" applyFont="1" applyBorder="1" applyProtection="1">
      <protection hidden="1"/>
    </xf>
    <xf numFmtId="3" fontId="19" fillId="0" borderId="12" xfId="1" applyFont="1" applyBorder="1" applyAlignment="1" applyProtection="1">
      <alignment horizontal="left"/>
      <protection hidden="1"/>
    </xf>
    <xf numFmtId="0" fontId="19" fillId="0" borderId="13" xfId="0" applyFont="1" applyBorder="1" applyProtection="1">
      <protection hidden="1"/>
    </xf>
    <xf numFmtId="3" fontId="21" fillId="0" borderId="12" xfId="1" applyFont="1" applyBorder="1" applyAlignment="1" applyProtection="1">
      <alignment horizontal="left"/>
      <protection hidden="1"/>
    </xf>
    <xf numFmtId="2" fontId="21" fillId="0" borderId="0" xfId="0" applyNumberFormat="1" applyFont="1" applyAlignment="1" applyProtection="1">
      <alignment horizontal="center"/>
      <protection hidden="1"/>
    </xf>
    <xf numFmtId="18" fontId="19" fillId="0" borderId="0" xfId="0" applyNumberFormat="1" applyFont="1" applyProtection="1">
      <protection hidden="1"/>
    </xf>
    <xf numFmtId="3" fontId="19" fillId="0" borderId="14" xfId="1" applyFont="1" applyBorder="1" applyAlignment="1" applyProtection="1">
      <alignment horizontal="left"/>
      <protection hidden="1"/>
    </xf>
    <xf numFmtId="18" fontId="19" fillId="0" borderId="15" xfId="0" applyNumberFormat="1" applyFont="1" applyBorder="1" applyProtection="1">
      <protection hidden="1"/>
    </xf>
    <xf numFmtId="2" fontId="19" fillId="0" borderId="15" xfId="0" applyNumberFormat="1" applyFont="1" applyBorder="1" applyAlignment="1" applyProtection="1">
      <alignment horizontal="center"/>
      <protection hidden="1"/>
    </xf>
    <xf numFmtId="0" fontId="19" fillId="0" borderId="15" xfId="0" applyFont="1" applyBorder="1" applyProtection="1">
      <protection hidden="1"/>
    </xf>
    <xf numFmtId="0" fontId="19" fillId="0" borderId="16" xfId="0" applyFont="1" applyBorder="1" applyProtection="1">
      <protection hidden="1"/>
    </xf>
    <xf numFmtId="3" fontId="23" fillId="0" borderId="0" xfId="1" applyFont="1" applyAlignment="1" applyProtection="1">
      <alignment horizontal="left"/>
      <protection hidden="1"/>
    </xf>
    <xf numFmtId="3" fontId="18" fillId="0" borderId="0" xfId="1" applyFont="1" applyAlignment="1" applyProtection="1">
      <alignment horizontal="left"/>
      <protection hidden="1"/>
    </xf>
    <xf numFmtId="3" fontId="18" fillId="0" borderId="0" xfId="1" applyFont="1" applyAlignment="1" applyProtection="1">
      <alignment horizontal="center"/>
      <protection hidden="1"/>
    </xf>
    <xf numFmtId="164" fontId="18" fillId="0" borderId="0" xfId="1" applyNumberFormat="1" applyFont="1" applyAlignment="1" applyProtection="1">
      <alignment horizontal="center"/>
      <protection hidden="1"/>
    </xf>
    <xf numFmtId="164" fontId="21" fillId="0" borderId="0" xfId="1" applyNumberFormat="1" applyFont="1" applyAlignment="1" applyProtection="1">
      <alignment horizontal="center"/>
      <protection hidden="1"/>
    </xf>
    <xf numFmtId="0" fontId="19" fillId="0" borderId="0" xfId="0" applyFont="1" applyAlignment="1" applyProtection="1">
      <alignment horizontal="center"/>
      <protection hidden="1"/>
    </xf>
    <xf numFmtId="3" fontId="21" fillId="0" borderId="0" xfId="1" applyFont="1" applyAlignment="1" applyProtection="1">
      <alignment horizontal="center" wrapText="1"/>
      <protection hidden="1"/>
    </xf>
    <xf numFmtId="168" fontId="19" fillId="0" borderId="0" xfId="0" applyNumberFormat="1" applyFont="1" applyAlignment="1" applyProtection="1">
      <alignment horizontal="left" indent="2"/>
      <protection hidden="1"/>
    </xf>
    <xf numFmtId="3" fontId="19" fillId="0" borderId="0" xfId="1" quotePrefix="1" applyFont="1" applyAlignment="1" applyProtection="1">
      <alignment horizontal="left"/>
      <protection hidden="1"/>
    </xf>
    <xf numFmtId="165" fontId="19" fillId="0" borderId="0" xfId="0" applyNumberFormat="1" applyFont="1" applyProtection="1">
      <protection hidden="1"/>
    </xf>
    <xf numFmtId="166" fontId="19" fillId="0" borderId="0" xfId="0" applyNumberFormat="1" applyFont="1" applyProtection="1">
      <protection hidden="1"/>
    </xf>
    <xf numFmtId="3" fontId="22" fillId="0" borderId="0" xfId="1" applyFont="1" applyProtection="1">
      <protection hidden="1"/>
    </xf>
    <xf numFmtId="3" fontId="22" fillId="0" borderId="0" xfId="1" applyFont="1" applyAlignment="1" applyProtection="1">
      <alignment horizontal="center"/>
      <protection hidden="1"/>
    </xf>
    <xf numFmtId="0" fontId="21" fillId="0" borderId="7" xfId="0" applyFont="1" applyBorder="1" applyProtection="1">
      <protection hidden="1"/>
    </xf>
    <xf numFmtId="0" fontId="19" fillId="0" borderId="7" xfId="0" applyFont="1" applyBorder="1" applyProtection="1">
      <protection hidden="1"/>
    </xf>
    <xf numFmtId="2" fontId="10" fillId="5" borderId="17" xfId="0" applyNumberFormat="1" applyFont="1" applyFill="1" applyBorder="1"/>
    <xf numFmtId="2" fontId="0" fillId="5" borderId="17" xfId="0" applyNumberFormat="1" applyFill="1" applyBorder="1"/>
    <xf numFmtId="0" fontId="0" fillId="5" borderId="17" xfId="0" applyFill="1" applyBorder="1"/>
    <xf numFmtId="166" fontId="0" fillId="6" borderId="0" xfId="0" applyNumberFormat="1" applyFill="1"/>
    <xf numFmtId="168" fontId="19" fillId="6" borderId="0" xfId="0" applyNumberFormat="1" applyFont="1" applyFill="1" applyAlignment="1" applyProtection="1">
      <alignment horizontal="left" indent="2"/>
      <protection hidden="1"/>
    </xf>
    <xf numFmtId="0" fontId="19" fillId="6" borderId="0" xfId="0" applyFont="1" applyFill="1" applyProtection="1">
      <protection hidden="1"/>
    </xf>
    <xf numFmtId="166" fontId="19" fillId="6" borderId="0" xfId="0" applyNumberFormat="1" applyFont="1" applyFill="1" applyProtection="1">
      <protection hidden="1"/>
    </xf>
    <xf numFmtId="2" fontId="19" fillId="6" borderId="0" xfId="0" applyNumberFormat="1" applyFont="1" applyFill="1" applyProtection="1">
      <protection hidden="1"/>
    </xf>
    <xf numFmtId="0" fontId="0" fillId="0" borderId="2" xfId="0" applyBorder="1"/>
    <xf numFmtId="2" fontId="10" fillId="0" borderId="2" xfId="0" applyNumberFormat="1" applyFont="1" applyBorder="1"/>
    <xf numFmtId="2" fontId="10" fillId="0" borderId="7" xfId="0" applyNumberFormat="1" applyFont="1" applyBorder="1"/>
    <xf numFmtId="9" fontId="19" fillId="5" borderId="0" xfId="0" applyNumberFormat="1" applyFont="1" applyFill="1" applyProtection="1">
      <protection hidden="1"/>
    </xf>
    <xf numFmtId="10" fontId="19" fillId="5" borderId="0" xfId="0" applyNumberFormat="1" applyFont="1" applyFill="1" applyProtection="1">
      <protection hidden="1"/>
    </xf>
    <xf numFmtId="8" fontId="19" fillId="5" borderId="0" xfId="0" applyNumberFormat="1" applyFont="1" applyFill="1" applyProtection="1">
      <protection hidden="1"/>
    </xf>
    <xf numFmtId="166" fontId="19" fillId="6" borderId="0" xfId="1" applyNumberFormat="1" applyFont="1" applyFill="1" applyAlignment="1" applyProtection="1">
      <alignment horizontal="center"/>
      <protection hidden="1"/>
    </xf>
    <xf numFmtId="166" fontId="19" fillId="5" borderId="0" xfId="1" applyNumberFormat="1" applyFont="1" applyFill="1" applyAlignment="1" applyProtection="1">
      <alignment horizontal="center"/>
      <protection hidden="1"/>
    </xf>
    <xf numFmtId="166" fontId="19" fillId="0" borderId="0" xfId="1" applyNumberFormat="1" applyFont="1" applyAlignment="1" applyProtection="1">
      <alignment horizontal="center"/>
      <protection hidden="1"/>
    </xf>
    <xf numFmtId="166" fontId="24" fillId="0" borderId="0" xfId="1" applyNumberFormat="1" applyFont="1" applyAlignment="1" applyProtection="1">
      <alignment horizontal="center"/>
      <protection hidden="1"/>
    </xf>
    <xf numFmtId="3" fontId="21" fillId="0" borderId="7" xfId="1" applyFont="1" applyBorder="1" applyAlignment="1" applyProtection="1">
      <alignment horizontal="center" wrapText="1"/>
      <protection hidden="1"/>
    </xf>
    <xf numFmtId="3" fontId="19" fillId="0" borderId="7" xfId="1" applyFont="1" applyBorder="1" applyAlignment="1" applyProtection="1">
      <alignment horizontal="center"/>
      <protection hidden="1"/>
    </xf>
    <xf numFmtId="2" fontId="19" fillId="0" borderId="7" xfId="1" applyNumberFormat="1" applyFont="1" applyBorder="1" applyAlignment="1" applyProtection="1">
      <alignment horizontal="center"/>
      <protection hidden="1"/>
    </xf>
    <xf numFmtId="3" fontId="21" fillId="0" borderId="7" xfId="1" applyFont="1" applyBorder="1" applyAlignment="1" applyProtection="1">
      <alignment horizontal="center"/>
      <protection hidden="1"/>
    </xf>
    <xf numFmtId="3" fontId="25" fillId="0" borderId="7" xfId="1" applyFont="1" applyBorder="1" applyAlignment="1" applyProtection="1">
      <alignment horizontal="center" wrapText="1"/>
      <protection hidden="1"/>
    </xf>
    <xf numFmtId="3" fontId="21" fillId="0" borderId="7" xfId="1" applyFont="1" applyBorder="1" applyAlignment="1" applyProtection="1">
      <alignment horizontal="left"/>
      <protection hidden="1"/>
    </xf>
    <xf numFmtId="164" fontId="21" fillId="0" borderId="7" xfId="1" applyNumberFormat="1" applyFont="1" applyBorder="1" applyAlignment="1" applyProtection="1">
      <alignment horizontal="center"/>
      <protection hidden="1"/>
    </xf>
    <xf numFmtId="166" fontId="19" fillId="0" borderId="0" xfId="0" applyNumberFormat="1" applyFont="1" applyAlignment="1" applyProtection="1">
      <alignment horizontal="center"/>
      <protection hidden="1"/>
    </xf>
    <xf numFmtId="166" fontId="19" fillId="0" borderId="0" xfId="3" applyNumberFormat="1" applyFont="1" applyFill="1" applyProtection="1">
      <protection hidden="1"/>
    </xf>
    <xf numFmtId="2" fontId="21" fillId="0" borderId="7" xfId="1" applyNumberFormat="1" applyFont="1" applyBorder="1" applyAlignment="1" applyProtection="1">
      <alignment horizontal="center"/>
      <protection hidden="1"/>
    </xf>
    <xf numFmtId="0" fontId="32" fillId="0" borderId="0" xfId="0" applyFont="1"/>
    <xf numFmtId="0" fontId="32" fillId="0" borderId="0" xfId="0" applyFont="1" applyAlignment="1">
      <alignment horizontal="left"/>
    </xf>
    <xf numFmtId="0" fontId="32" fillId="0" borderId="0" xfId="0" applyFont="1" applyAlignment="1">
      <alignment horizontal="center"/>
    </xf>
    <xf numFmtId="2" fontId="32" fillId="7" borderId="17" xfId="0" applyNumberFormat="1" applyFont="1" applyFill="1" applyBorder="1" applyAlignment="1">
      <alignment horizontal="center"/>
    </xf>
    <xf numFmtId="166" fontId="32" fillId="7" borderId="17" xfId="0" applyNumberFormat="1" applyFont="1" applyFill="1" applyBorder="1" applyAlignment="1">
      <alignment horizontal="center"/>
    </xf>
    <xf numFmtId="2" fontId="32" fillId="0" borderId="2" xfId="0" applyNumberFormat="1" applyFont="1" applyBorder="1" applyAlignment="1">
      <alignment horizontal="center"/>
    </xf>
    <xf numFmtId="2" fontId="32" fillId="0" borderId="7" xfId="0" applyNumberFormat="1" applyFont="1" applyBorder="1" applyAlignment="1">
      <alignment horizontal="center"/>
    </xf>
    <xf numFmtId="0" fontId="32" fillId="0" borderId="2" xfId="0" applyFont="1" applyBorder="1" applyAlignment="1">
      <alignment horizontal="center"/>
    </xf>
    <xf numFmtId="2" fontId="32" fillId="0" borderId="0" xfId="0" applyNumberFormat="1" applyFont="1" applyAlignment="1">
      <alignment horizontal="center"/>
    </xf>
    <xf numFmtId="166" fontId="32" fillId="6" borderId="0" xfId="0" applyNumberFormat="1" applyFont="1" applyFill="1" applyAlignment="1">
      <alignment horizontal="center"/>
    </xf>
    <xf numFmtId="166" fontId="32" fillId="0" borderId="0" xfId="0" applyNumberFormat="1" applyFont="1" applyAlignment="1">
      <alignment horizontal="center"/>
    </xf>
    <xf numFmtId="167" fontId="32" fillId="0" borderId="0" xfId="0" applyNumberFormat="1" applyFont="1" applyAlignment="1">
      <alignment horizontal="center"/>
    </xf>
    <xf numFmtId="10" fontId="19" fillId="0" borderId="0" xfId="0" applyNumberFormat="1" applyFont="1" applyProtection="1">
      <protection hidden="1"/>
    </xf>
    <xf numFmtId="167" fontId="19" fillId="0" borderId="0" xfId="0" applyNumberFormat="1" applyFont="1" applyAlignment="1" applyProtection="1">
      <alignment horizontal="center"/>
      <protection hidden="1"/>
    </xf>
    <xf numFmtId="10" fontId="19" fillId="0" borderId="0" xfId="3" applyNumberFormat="1" applyFont="1" applyFill="1" applyAlignment="1" applyProtection="1">
      <alignment horizontal="center"/>
      <protection hidden="1"/>
    </xf>
    <xf numFmtId="166" fontId="19" fillId="0" borderId="0" xfId="3" applyNumberFormat="1" applyFont="1" applyFill="1" applyAlignment="1" applyProtection="1">
      <alignment horizontal="center"/>
      <protection hidden="1"/>
    </xf>
    <xf numFmtId="169" fontId="19" fillId="0" borderId="0" xfId="3" applyNumberFormat="1" applyFont="1" applyFill="1" applyAlignment="1" applyProtection="1">
      <alignment horizontal="center"/>
      <protection hidden="1"/>
    </xf>
    <xf numFmtId="166" fontId="19" fillId="0" borderId="0" xfId="4" applyNumberFormat="1" applyFont="1" applyFill="1" applyProtection="1">
      <protection hidden="1"/>
    </xf>
    <xf numFmtId="10" fontId="0" fillId="0" borderId="0" xfId="0" applyNumberFormat="1"/>
    <xf numFmtId="166" fontId="9" fillId="0" borderId="4" xfId="2" applyNumberFormat="1" applyFont="1" applyBorder="1" applyAlignment="1">
      <alignment horizontal="center"/>
    </xf>
    <xf numFmtId="166" fontId="9" fillId="0" borderId="5" xfId="2" applyNumberFormat="1" applyFont="1" applyBorder="1" applyAlignment="1">
      <alignment horizontal="center"/>
    </xf>
    <xf numFmtId="0" fontId="15" fillId="0" borderId="0" xfId="2" applyFont="1" applyAlignment="1">
      <alignment horizontal="center"/>
    </xf>
    <xf numFmtId="0" fontId="10" fillId="0" borderId="2" xfId="2" applyBorder="1" applyAlignment="1">
      <alignment horizontal="center"/>
    </xf>
    <xf numFmtId="0" fontId="10" fillId="0" borderId="3" xfId="2" applyBorder="1" applyAlignment="1">
      <alignment horizontal="center"/>
    </xf>
    <xf numFmtId="0" fontId="10" fillId="0" borderId="1" xfId="2" applyBorder="1" applyAlignment="1">
      <alignment horizontal="center"/>
    </xf>
    <xf numFmtId="166" fontId="10" fillId="0" borderId="4" xfId="2" applyNumberFormat="1" applyBorder="1" applyAlignment="1">
      <alignment horizontal="center"/>
    </xf>
    <xf numFmtId="166" fontId="10" fillId="0" borderId="5" xfId="2" applyNumberFormat="1" applyBorder="1" applyAlignment="1">
      <alignment horizontal="center"/>
    </xf>
    <xf numFmtId="166" fontId="9" fillId="4" borderId="4" xfId="2" applyNumberFormat="1" applyFont="1" applyFill="1" applyBorder="1" applyAlignment="1">
      <alignment horizontal="center"/>
    </xf>
    <xf numFmtId="166" fontId="9" fillId="4" borderId="5" xfId="2" applyNumberFormat="1" applyFont="1" applyFill="1" applyBorder="1" applyAlignment="1">
      <alignment horizontal="center"/>
    </xf>
    <xf numFmtId="166" fontId="10" fillId="0" borderId="6" xfId="2" applyNumberFormat="1" applyBorder="1" applyAlignment="1">
      <alignment horizontal="center"/>
    </xf>
    <xf numFmtId="166" fontId="10" fillId="0" borderId="8" xfId="2" applyNumberFormat="1" applyBorder="1" applyAlignment="1">
      <alignment horizontal="center"/>
    </xf>
    <xf numFmtId="3" fontId="29" fillId="0" borderId="0" xfId="1" applyFont="1" applyAlignment="1" applyProtection="1">
      <alignment horizontal="center"/>
      <protection hidden="1"/>
    </xf>
    <xf numFmtId="3" fontId="19" fillId="0" borderId="0" xfId="1" applyFont="1" applyAlignment="1" applyProtection="1">
      <alignment horizontal="center"/>
      <protection hidden="1"/>
    </xf>
    <xf numFmtId="0" fontId="25" fillId="0" borderId="0" xfId="0" applyFont="1" applyAlignment="1" applyProtection="1">
      <alignment horizontal="center"/>
      <protection hidden="1"/>
    </xf>
  </cellXfs>
  <cellStyles count="5">
    <cellStyle name="Currency" xfId="4" builtinId="4"/>
    <cellStyle name="Normal" xfId="0" builtinId="0"/>
    <cellStyle name="Normal 2" xfId="2" xr:uid="{00000000-0005-0000-0000-000001000000}"/>
    <cellStyle name="Normal_CELORD01" xfId="1" xr:uid="{00000000-0005-0000-0000-000002000000}"/>
    <cellStyle name="Percent" xfId="3" builtinId="5"/>
  </cellStyles>
  <dxfs count="0"/>
  <tableStyles count="1" defaultTableStyle="TableStyleMedium2" defaultPivotStyle="PivotStyleLight16">
    <tableStyle name="Invisible" pivot="0" table="0" count="0" xr9:uid="{4A636CE9-9379-4573-8E98-F14876235E45}"/>
  </tableStyles>
  <colors>
    <mruColors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V32"/>
  <sheetViews>
    <sheetView zoomScale="97" zoomScaleNormal="100" workbookViewId="0">
      <selection activeCell="V11" sqref="V11"/>
    </sheetView>
  </sheetViews>
  <sheetFormatPr defaultRowHeight="13.2" x14ac:dyDescent="0.25"/>
  <cols>
    <col min="1" max="2" width="9.109375" style="39"/>
    <col min="3" max="3" width="3.33203125" style="39" customWidth="1"/>
    <col min="4" max="19" width="9.109375" style="39"/>
    <col min="20" max="20" width="7.33203125" style="39" customWidth="1"/>
    <col min="21" max="21" width="6.44140625" style="39" customWidth="1"/>
    <col min="22" max="258" width="9.109375" style="39"/>
    <col min="259" max="259" width="3.33203125" style="39" customWidth="1"/>
    <col min="260" max="275" width="9.109375" style="39"/>
    <col min="276" max="276" width="7.33203125" style="39" customWidth="1"/>
    <col min="277" max="277" width="6.44140625" style="39" customWidth="1"/>
    <col min="278" max="514" width="9.109375" style="39"/>
    <col min="515" max="515" width="3.33203125" style="39" customWidth="1"/>
    <col min="516" max="531" width="9.109375" style="39"/>
    <col min="532" max="532" width="7.33203125" style="39" customWidth="1"/>
    <col min="533" max="533" width="6.44140625" style="39" customWidth="1"/>
    <col min="534" max="770" width="9.109375" style="39"/>
    <col min="771" max="771" width="3.33203125" style="39" customWidth="1"/>
    <col min="772" max="787" width="9.109375" style="39"/>
    <col min="788" max="788" width="7.33203125" style="39" customWidth="1"/>
    <col min="789" max="789" width="6.44140625" style="39" customWidth="1"/>
    <col min="790" max="1026" width="9.109375" style="39"/>
    <col min="1027" max="1027" width="3.33203125" style="39" customWidth="1"/>
    <col min="1028" max="1043" width="9.109375" style="39"/>
    <col min="1044" max="1044" width="7.33203125" style="39" customWidth="1"/>
    <col min="1045" max="1045" width="6.44140625" style="39" customWidth="1"/>
    <col min="1046" max="1282" width="9.109375" style="39"/>
    <col min="1283" max="1283" width="3.33203125" style="39" customWidth="1"/>
    <col min="1284" max="1299" width="9.109375" style="39"/>
    <col min="1300" max="1300" width="7.33203125" style="39" customWidth="1"/>
    <col min="1301" max="1301" width="6.44140625" style="39" customWidth="1"/>
    <col min="1302" max="1538" width="9.109375" style="39"/>
    <col min="1539" max="1539" width="3.33203125" style="39" customWidth="1"/>
    <col min="1540" max="1555" width="9.109375" style="39"/>
    <col min="1556" max="1556" width="7.33203125" style="39" customWidth="1"/>
    <col min="1557" max="1557" width="6.44140625" style="39" customWidth="1"/>
    <col min="1558" max="1794" width="9.109375" style="39"/>
    <col min="1795" max="1795" width="3.33203125" style="39" customWidth="1"/>
    <col min="1796" max="1811" width="9.109375" style="39"/>
    <col min="1812" max="1812" width="7.33203125" style="39" customWidth="1"/>
    <col min="1813" max="1813" width="6.44140625" style="39" customWidth="1"/>
    <col min="1814" max="2050" width="9.109375" style="39"/>
    <col min="2051" max="2051" width="3.33203125" style="39" customWidth="1"/>
    <col min="2052" max="2067" width="9.109375" style="39"/>
    <col min="2068" max="2068" width="7.33203125" style="39" customWidth="1"/>
    <col min="2069" max="2069" width="6.44140625" style="39" customWidth="1"/>
    <col min="2070" max="2306" width="9.109375" style="39"/>
    <col min="2307" max="2307" width="3.33203125" style="39" customWidth="1"/>
    <col min="2308" max="2323" width="9.109375" style="39"/>
    <col min="2324" max="2324" width="7.33203125" style="39" customWidth="1"/>
    <col min="2325" max="2325" width="6.44140625" style="39" customWidth="1"/>
    <col min="2326" max="2562" width="9.109375" style="39"/>
    <col min="2563" max="2563" width="3.33203125" style="39" customWidth="1"/>
    <col min="2564" max="2579" width="9.109375" style="39"/>
    <col min="2580" max="2580" width="7.33203125" style="39" customWidth="1"/>
    <col min="2581" max="2581" width="6.44140625" style="39" customWidth="1"/>
    <col min="2582" max="2818" width="9.109375" style="39"/>
    <col min="2819" max="2819" width="3.33203125" style="39" customWidth="1"/>
    <col min="2820" max="2835" width="9.109375" style="39"/>
    <col min="2836" max="2836" width="7.33203125" style="39" customWidth="1"/>
    <col min="2837" max="2837" width="6.44140625" style="39" customWidth="1"/>
    <col min="2838" max="3074" width="9.109375" style="39"/>
    <col min="3075" max="3075" width="3.33203125" style="39" customWidth="1"/>
    <col min="3076" max="3091" width="9.109375" style="39"/>
    <col min="3092" max="3092" width="7.33203125" style="39" customWidth="1"/>
    <col min="3093" max="3093" width="6.44140625" style="39" customWidth="1"/>
    <col min="3094" max="3330" width="9.109375" style="39"/>
    <col min="3331" max="3331" width="3.33203125" style="39" customWidth="1"/>
    <col min="3332" max="3347" width="9.109375" style="39"/>
    <col min="3348" max="3348" width="7.33203125" style="39" customWidth="1"/>
    <col min="3349" max="3349" width="6.44140625" style="39" customWidth="1"/>
    <col min="3350" max="3586" width="9.109375" style="39"/>
    <col min="3587" max="3587" width="3.33203125" style="39" customWidth="1"/>
    <col min="3588" max="3603" width="9.109375" style="39"/>
    <col min="3604" max="3604" width="7.33203125" style="39" customWidth="1"/>
    <col min="3605" max="3605" width="6.44140625" style="39" customWidth="1"/>
    <col min="3606" max="3842" width="9.109375" style="39"/>
    <col min="3843" max="3843" width="3.33203125" style="39" customWidth="1"/>
    <col min="3844" max="3859" width="9.109375" style="39"/>
    <col min="3860" max="3860" width="7.33203125" style="39" customWidth="1"/>
    <col min="3861" max="3861" width="6.44140625" style="39" customWidth="1"/>
    <col min="3862" max="4098" width="9.109375" style="39"/>
    <col min="4099" max="4099" width="3.33203125" style="39" customWidth="1"/>
    <col min="4100" max="4115" width="9.109375" style="39"/>
    <col min="4116" max="4116" width="7.33203125" style="39" customWidth="1"/>
    <col min="4117" max="4117" width="6.44140625" style="39" customWidth="1"/>
    <col min="4118" max="4354" width="9.109375" style="39"/>
    <col min="4355" max="4355" width="3.33203125" style="39" customWidth="1"/>
    <col min="4356" max="4371" width="9.109375" style="39"/>
    <col min="4372" max="4372" width="7.33203125" style="39" customWidth="1"/>
    <col min="4373" max="4373" width="6.44140625" style="39" customWidth="1"/>
    <col min="4374" max="4610" width="9.109375" style="39"/>
    <col min="4611" max="4611" width="3.33203125" style="39" customWidth="1"/>
    <col min="4612" max="4627" width="9.109375" style="39"/>
    <col min="4628" max="4628" width="7.33203125" style="39" customWidth="1"/>
    <col min="4629" max="4629" width="6.44140625" style="39" customWidth="1"/>
    <col min="4630" max="4866" width="9.109375" style="39"/>
    <col min="4867" max="4867" width="3.33203125" style="39" customWidth="1"/>
    <col min="4868" max="4883" width="9.109375" style="39"/>
    <col min="4884" max="4884" width="7.33203125" style="39" customWidth="1"/>
    <col min="4885" max="4885" width="6.44140625" style="39" customWidth="1"/>
    <col min="4886" max="5122" width="9.109375" style="39"/>
    <col min="5123" max="5123" width="3.33203125" style="39" customWidth="1"/>
    <col min="5124" max="5139" width="9.109375" style="39"/>
    <col min="5140" max="5140" width="7.33203125" style="39" customWidth="1"/>
    <col min="5141" max="5141" width="6.44140625" style="39" customWidth="1"/>
    <col min="5142" max="5378" width="9.109375" style="39"/>
    <col min="5379" max="5379" width="3.33203125" style="39" customWidth="1"/>
    <col min="5380" max="5395" width="9.109375" style="39"/>
    <col min="5396" max="5396" width="7.33203125" style="39" customWidth="1"/>
    <col min="5397" max="5397" width="6.44140625" style="39" customWidth="1"/>
    <col min="5398" max="5634" width="9.109375" style="39"/>
    <col min="5635" max="5635" width="3.33203125" style="39" customWidth="1"/>
    <col min="5636" max="5651" width="9.109375" style="39"/>
    <col min="5652" max="5652" width="7.33203125" style="39" customWidth="1"/>
    <col min="5653" max="5653" width="6.44140625" style="39" customWidth="1"/>
    <col min="5654" max="5890" width="9.109375" style="39"/>
    <col min="5891" max="5891" width="3.33203125" style="39" customWidth="1"/>
    <col min="5892" max="5907" width="9.109375" style="39"/>
    <col min="5908" max="5908" width="7.33203125" style="39" customWidth="1"/>
    <col min="5909" max="5909" width="6.44140625" style="39" customWidth="1"/>
    <col min="5910" max="6146" width="9.109375" style="39"/>
    <col min="6147" max="6147" width="3.33203125" style="39" customWidth="1"/>
    <col min="6148" max="6163" width="9.109375" style="39"/>
    <col min="6164" max="6164" width="7.33203125" style="39" customWidth="1"/>
    <col min="6165" max="6165" width="6.44140625" style="39" customWidth="1"/>
    <col min="6166" max="6402" width="9.109375" style="39"/>
    <col min="6403" max="6403" width="3.33203125" style="39" customWidth="1"/>
    <col min="6404" max="6419" width="9.109375" style="39"/>
    <col min="6420" max="6420" width="7.33203125" style="39" customWidth="1"/>
    <col min="6421" max="6421" width="6.44140625" style="39" customWidth="1"/>
    <col min="6422" max="6658" width="9.109375" style="39"/>
    <col min="6659" max="6659" width="3.33203125" style="39" customWidth="1"/>
    <col min="6660" max="6675" width="9.109375" style="39"/>
    <col min="6676" max="6676" width="7.33203125" style="39" customWidth="1"/>
    <col min="6677" max="6677" width="6.44140625" style="39" customWidth="1"/>
    <col min="6678" max="6914" width="9.109375" style="39"/>
    <col min="6915" max="6915" width="3.33203125" style="39" customWidth="1"/>
    <col min="6916" max="6931" width="9.109375" style="39"/>
    <col min="6932" max="6932" width="7.33203125" style="39" customWidth="1"/>
    <col min="6933" max="6933" width="6.44140625" style="39" customWidth="1"/>
    <col min="6934" max="7170" width="9.109375" style="39"/>
    <col min="7171" max="7171" width="3.33203125" style="39" customWidth="1"/>
    <col min="7172" max="7187" width="9.109375" style="39"/>
    <col min="7188" max="7188" width="7.33203125" style="39" customWidth="1"/>
    <col min="7189" max="7189" width="6.44140625" style="39" customWidth="1"/>
    <col min="7190" max="7426" width="9.109375" style="39"/>
    <col min="7427" max="7427" width="3.33203125" style="39" customWidth="1"/>
    <col min="7428" max="7443" width="9.109375" style="39"/>
    <col min="7444" max="7444" width="7.33203125" style="39" customWidth="1"/>
    <col min="7445" max="7445" width="6.44140625" style="39" customWidth="1"/>
    <col min="7446" max="7682" width="9.109375" style="39"/>
    <col min="7683" max="7683" width="3.33203125" style="39" customWidth="1"/>
    <col min="7684" max="7699" width="9.109375" style="39"/>
    <col min="7700" max="7700" width="7.33203125" style="39" customWidth="1"/>
    <col min="7701" max="7701" width="6.44140625" style="39" customWidth="1"/>
    <col min="7702" max="7938" width="9.109375" style="39"/>
    <col min="7939" max="7939" width="3.33203125" style="39" customWidth="1"/>
    <col min="7940" max="7955" width="9.109375" style="39"/>
    <col min="7956" max="7956" width="7.33203125" style="39" customWidth="1"/>
    <col min="7957" max="7957" width="6.44140625" style="39" customWidth="1"/>
    <col min="7958" max="8194" width="9.109375" style="39"/>
    <col min="8195" max="8195" width="3.33203125" style="39" customWidth="1"/>
    <col min="8196" max="8211" width="9.109375" style="39"/>
    <col min="8212" max="8212" width="7.33203125" style="39" customWidth="1"/>
    <col min="8213" max="8213" width="6.44140625" style="39" customWidth="1"/>
    <col min="8214" max="8450" width="9.109375" style="39"/>
    <col min="8451" max="8451" width="3.33203125" style="39" customWidth="1"/>
    <col min="8452" max="8467" width="9.109375" style="39"/>
    <col min="8468" max="8468" width="7.33203125" style="39" customWidth="1"/>
    <col min="8469" max="8469" width="6.44140625" style="39" customWidth="1"/>
    <col min="8470" max="8706" width="9.109375" style="39"/>
    <col min="8707" max="8707" width="3.33203125" style="39" customWidth="1"/>
    <col min="8708" max="8723" width="9.109375" style="39"/>
    <col min="8724" max="8724" width="7.33203125" style="39" customWidth="1"/>
    <col min="8725" max="8725" width="6.44140625" style="39" customWidth="1"/>
    <col min="8726" max="8962" width="9.109375" style="39"/>
    <col min="8963" max="8963" width="3.33203125" style="39" customWidth="1"/>
    <col min="8964" max="8979" width="9.109375" style="39"/>
    <col min="8980" max="8980" width="7.33203125" style="39" customWidth="1"/>
    <col min="8981" max="8981" width="6.44140625" style="39" customWidth="1"/>
    <col min="8982" max="9218" width="9.109375" style="39"/>
    <col min="9219" max="9219" width="3.33203125" style="39" customWidth="1"/>
    <col min="9220" max="9235" width="9.109375" style="39"/>
    <col min="9236" max="9236" width="7.33203125" style="39" customWidth="1"/>
    <col min="9237" max="9237" width="6.44140625" style="39" customWidth="1"/>
    <col min="9238" max="9474" width="9.109375" style="39"/>
    <col min="9475" max="9475" width="3.33203125" style="39" customWidth="1"/>
    <col min="9476" max="9491" width="9.109375" style="39"/>
    <col min="9492" max="9492" width="7.33203125" style="39" customWidth="1"/>
    <col min="9493" max="9493" width="6.44140625" style="39" customWidth="1"/>
    <col min="9494" max="9730" width="9.109375" style="39"/>
    <col min="9731" max="9731" width="3.33203125" style="39" customWidth="1"/>
    <col min="9732" max="9747" width="9.109375" style="39"/>
    <col min="9748" max="9748" width="7.33203125" style="39" customWidth="1"/>
    <col min="9749" max="9749" width="6.44140625" style="39" customWidth="1"/>
    <col min="9750" max="9986" width="9.109375" style="39"/>
    <col min="9987" max="9987" width="3.33203125" style="39" customWidth="1"/>
    <col min="9988" max="10003" width="9.109375" style="39"/>
    <col min="10004" max="10004" width="7.33203125" style="39" customWidth="1"/>
    <col min="10005" max="10005" width="6.44140625" style="39" customWidth="1"/>
    <col min="10006" max="10242" width="9.109375" style="39"/>
    <col min="10243" max="10243" width="3.33203125" style="39" customWidth="1"/>
    <col min="10244" max="10259" width="9.109375" style="39"/>
    <col min="10260" max="10260" width="7.33203125" style="39" customWidth="1"/>
    <col min="10261" max="10261" width="6.44140625" style="39" customWidth="1"/>
    <col min="10262" max="10498" width="9.109375" style="39"/>
    <col min="10499" max="10499" width="3.33203125" style="39" customWidth="1"/>
    <col min="10500" max="10515" width="9.109375" style="39"/>
    <col min="10516" max="10516" width="7.33203125" style="39" customWidth="1"/>
    <col min="10517" max="10517" width="6.44140625" style="39" customWidth="1"/>
    <col min="10518" max="10754" width="9.109375" style="39"/>
    <col min="10755" max="10755" width="3.33203125" style="39" customWidth="1"/>
    <col min="10756" max="10771" width="9.109375" style="39"/>
    <col min="10772" max="10772" width="7.33203125" style="39" customWidth="1"/>
    <col min="10773" max="10773" width="6.44140625" style="39" customWidth="1"/>
    <col min="10774" max="11010" width="9.109375" style="39"/>
    <col min="11011" max="11011" width="3.33203125" style="39" customWidth="1"/>
    <col min="11012" max="11027" width="9.109375" style="39"/>
    <col min="11028" max="11028" width="7.33203125" style="39" customWidth="1"/>
    <col min="11029" max="11029" width="6.44140625" style="39" customWidth="1"/>
    <col min="11030" max="11266" width="9.109375" style="39"/>
    <col min="11267" max="11267" width="3.33203125" style="39" customWidth="1"/>
    <col min="11268" max="11283" width="9.109375" style="39"/>
    <col min="11284" max="11284" width="7.33203125" style="39" customWidth="1"/>
    <col min="11285" max="11285" width="6.44140625" style="39" customWidth="1"/>
    <col min="11286" max="11522" width="9.109375" style="39"/>
    <col min="11523" max="11523" width="3.33203125" style="39" customWidth="1"/>
    <col min="11524" max="11539" width="9.109375" style="39"/>
    <col min="11540" max="11540" width="7.33203125" style="39" customWidth="1"/>
    <col min="11541" max="11541" width="6.44140625" style="39" customWidth="1"/>
    <col min="11542" max="11778" width="9.109375" style="39"/>
    <col min="11779" max="11779" width="3.33203125" style="39" customWidth="1"/>
    <col min="11780" max="11795" width="9.109375" style="39"/>
    <col min="11796" max="11796" width="7.33203125" style="39" customWidth="1"/>
    <col min="11797" max="11797" width="6.44140625" style="39" customWidth="1"/>
    <col min="11798" max="12034" width="9.109375" style="39"/>
    <col min="12035" max="12035" width="3.33203125" style="39" customWidth="1"/>
    <col min="12036" max="12051" width="9.109375" style="39"/>
    <col min="12052" max="12052" width="7.33203125" style="39" customWidth="1"/>
    <col min="12053" max="12053" width="6.44140625" style="39" customWidth="1"/>
    <col min="12054" max="12290" width="9.109375" style="39"/>
    <col min="12291" max="12291" width="3.33203125" style="39" customWidth="1"/>
    <col min="12292" max="12307" width="9.109375" style="39"/>
    <col min="12308" max="12308" width="7.33203125" style="39" customWidth="1"/>
    <col min="12309" max="12309" width="6.44140625" style="39" customWidth="1"/>
    <col min="12310" max="12546" width="9.109375" style="39"/>
    <col min="12547" max="12547" width="3.33203125" style="39" customWidth="1"/>
    <col min="12548" max="12563" width="9.109375" style="39"/>
    <col min="12564" max="12564" width="7.33203125" style="39" customWidth="1"/>
    <col min="12565" max="12565" width="6.44140625" style="39" customWidth="1"/>
    <col min="12566" max="12802" width="9.109375" style="39"/>
    <col min="12803" max="12803" width="3.33203125" style="39" customWidth="1"/>
    <col min="12804" max="12819" width="9.109375" style="39"/>
    <col min="12820" max="12820" width="7.33203125" style="39" customWidth="1"/>
    <col min="12821" max="12821" width="6.44140625" style="39" customWidth="1"/>
    <col min="12822" max="13058" width="9.109375" style="39"/>
    <col min="13059" max="13059" width="3.33203125" style="39" customWidth="1"/>
    <col min="13060" max="13075" width="9.109375" style="39"/>
    <col min="13076" max="13076" width="7.33203125" style="39" customWidth="1"/>
    <col min="13077" max="13077" width="6.44140625" style="39" customWidth="1"/>
    <col min="13078" max="13314" width="9.109375" style="39"/>
    <col min="13315" max="13315" width="3.33203125" style="39" customWidth="1"/>
    <col min="13316" max="13331" width="9.109375" style="39"/>
    <col min="13332" max="13332" width="7.33203125" style="39" customWidth="1"/>
    <col min="13333" max="13333" width="6.44140625" style="39" customWidth="1"/>
    <col min="13334" max="13570" width="9.109375" style="39"/>
    <col min="13571" max="13571" width="3.33203125" style="39" customWidth="1"/>
    <col min="13572" max="13587" width="9.109375" style="39"/>
    <col min="13588" max="13588" width="7.33203125" style="39" customWidth="1"/>
    <col min="13589" max="13589" width="6.44140625" style="39" customWidth="1"/>
    <col min="13590" max="13826" width="9.109375" style="39"/>
    <col min="13827" max="13827" width="3.33203125" style="39" customWidth="1"/>
    <col min="13828" max="13843" width="9.109375" style="39"/>
    <col min="13844" max="13844" width="7.33203125" style="39" customWidth="1"/>
    <col min="13845" max="13845" width="6.44140625" style="39" customWidth="1"/>
    <col min="13846" max="14082" width="9.109375" style="39"/>
    <col min="14083" max="14083" width="3.33203125" style="39" customWidth="1"/>
    <col min="14084" max="14099" width="9.109375" style="39"/>
    <col min="14100" max="14100" width="7.33203125" style="39" customWidth="1"/>
    <col min="14101" max="14101" width="6.44140625" style="39" customWidth="1"/>
    <col min="14102" max="14338" width="9.109375" style="39"/>
    <col min="14339" max="14339" width="3.33203125" style="39" customWidth="1"/>
    <col min="14340" max="14355" width="9.109375" style="39"/>
    <col min="14356" max="14356" width="7.33203125" style="39" customWidth="1"/>
    <col min="14357" max="14357" width="6.44140625" style="39" customWidth="1"/>
    <col min="14358" max="14594" width="9.109375" style="39"/>
    <col min="14595" max="14595" width="3.33203125" style="39" customWidth="1"/>
    <col min="14596" max="14611" width="9.109375" style="39"/>
    <col min="14612" max="14612" width="7.33203125" style="39" customWidth="1"/>
    <col min="14613" max="14613" width="6.44140625" style="39" customWidth="1"/>
    <col min="14614" max="14850" width="9.109375" style="39"/>
    <col min="14851" max="14851" width="3.33203125" style="39" customWidth="1"/>
    <col min="14852" max="14867" width="9.109375" style="39"/>
    <col min="14868" max="14868" width="7.33203125" style="39" customWidth="1"/>
    <col min="14869" max="14869" width="6.44140625" style="39" customWidth="1"/>
    <col min="14870" max="15106" width="9.109375" style="39"/>
    <col min="15107" max="15107" width="3.33203125" style="39" customWidth="1"/>
    <col min="15108" max="15123" width="9.109375" style="39"/>
    <col min="15124" max="15124" width="7.33203125" style="39" customWidth="1"/>
    <col min="15125" max="15125" width="6.44140625" style="39" customWidth="1"/>
    <col min="15126" max="15362" width="9.109375" style="39"/>
    <col min="15363" max="15363" width="3.33203125" style="39" customWidth="1"/>
    <col min="15364" max="15379" width="9.109375" style="39"/>
    <col min="15380" max="15380" width="7.33203125" style="39" customWidth="1"/>
    <col min="15381" max="15381" width="6.44140625" style="39" customWidth="1"/>
    <col min="15382" max="15618" width="9.109375" style="39"/>
    <col min="15619" max="15619" width="3.33203125" style="39" customWidth="1"/>
    <col min="15620" max="15635" width="9.109375" style="39"/>
    <col min="15636" max="15636" width="7.33203125" style="39" customWidth="1"/>
    <col min="15637" max="15637" width="6.44140625" style="39" customWidth="1"/>
    <col min="15638" max="15874" width="9.109375" style="39"/>
    <col min="15875" max="15875" width="3.33203125" style="39" customWidth="1"/>
    <col min="15876" max="15891" width="9.109375" style="39"/>
    <col min="15892" max="15892" width="7.33203125" style="39" customWidth="1"/>
    <col min="15893" max="15893" width="6.44140625" style="39" customWidth="1"/>
    <col min="15894" max="16130" width="9.109375" style="39"/>
    <col min="16131" max="16131" width="3.33203125" style="39" customWidth="1"/>
    <col min="16132" max="16147" width="9.109375" style="39"/>
    <col min="16148" max="16148" width="7.33203125" style="39" customWidth="1"/>
    <col min="16149" max="16149" width="6.44140625" style="39" customWidth="1"/>
    <col min="16150" max="16384" width="9.109375" style="39"/>
  </cols>
  <sheetData>
    <row r="1" spans="1:22" ht="28.5" customHeight="1" x14ac:dyDescent="0.3">
      <c r="A1" s="221" t="s">
        <v>70</v>
      </c>
      <c r="B1" s="221"/>
      <c r="C1" s="221"/>
      <c r="D1" s="221"/>
      <c r="E1" s="221"/>
      <c r="F1" s="221"/>
      <c r="G1" s="221"/>
      <c r="H1" s="221"/>
      <c r="I1" s="221"/>
      <c r="J1" s="221"/>
      <c r="K1" s="221"/>
      <c r="L1" s="221"/>
      <c r="M1" s="221"/>
      <c r="N1" s="221"/>
      <c r="O1" s="221"/>
      <c r="P1" s="221"/>
      <c r="Q1" s="221"/>
      <c r="R1" s="221"/>
      <c r="S1" s="221"/>
      <c r="T1" s="221"/>
      <c r="U1" s="221"/>
    </row>
    <row r="2" spans="1:22" x14ac:dyDescent="0.25">
      <c r="A2" s="39" t="s">
        <v>71</v>
      </c>
      <c r="B2" s="39" t="s">
        <v>72</v>
      </c>
    </row>
    <row r="3" spans="1:22" x14ac:dyDescent="0.25">
      <c r="C3" s="40"/>
      <c r="D3" s="222" t="s">
        <v>73</v>
      </c>
      <c r="E3" s="223"/>
      <c r="F3" s="222" t="s">
        <v>74</v>
      </c>
      <c r="G3" s="223"/>
      <c r="H3" s="224" t="s">
        <v>75</v>
      </c>
      <c r="I3" s="223"/>
      <c r="J3" s="224" t="s">
        <v>76</v>
      </c>
      <c r="K3" s="223"/>
      <c r="L3" s="224" t="s">
        <v>41</v>
      </c>
      <c r="M3" s="223"/>
      <c r="N3" s="224" t="s">
        <v>77</v>
      </c>
      <c r="O3" s="223"/>
      <c r="P3" s="224" t="s">
        <v>56</v>
      </c>
      <c r="Q3" s="223"/>
      <c r="R3" s="224" t="s">
        <v>45</v>
      </c>
      <c r="S3" s="223"/>
      <c r="T3" s="224" t="s">
        <v>78</v>
      </c>
      <c r="U3" s="223"/>
    </row>
    <row r="4" spans="1:22" x14ac:dyDescent="0.25">
      <c r="A4" s="39" t="s">
        <v>79</v>
      </c>
      <c r="C4" s="41"/>
      <c r="D4" s="42"/>
      <c r="E4" s="43"/>
      <c r="F4" s="42"/>
      <c r="G4" s="44"/>
      <c r="H4" s="45"/>
      <c r="I4" s="44"/>
      <c r="J4" s="45"/>
      <c r="K4" s="44"/>
      <c r="L4" s="45"/>
      <c r="M4" s="44"/>
      <c r="N4" s="45"/>
      <c r="O4" s="44"/>
      <c r="P4" s="45"/>
      <c r="Q4" s="44"/>
      <c r="R4" s="45"/>
      <c r="S4" s="44"/>
      <c r="T4" s="225"/>
      <c r="U4" s="226"/>
    </row>
    <row r="5" spans="1:22" x14ac:dyDescent="0.25">
      <c r="A5" s="46" t="s">
        <v>80</v>
      </c>
      <c r="B5" s="47" t="s">
        <v>80</v>
      </c>
      <c r="C5" s="48"/>
      <c r="D5" s="49">
        <f>E5*$D$27</f>
        <v>13.719999999999999</v>
      </c>
      <c r="E5" s="50">
        <v>0.4</v>
      </c>
      <c r="F5" s="49">
        <f>G5*D5</f>
        <v>0</v>
      </c>
      <c r="G5" s="50">
        <v>0</v>
      </c>
      <c r="H5" s="51">
        <v>8.8000000000000007</v>
      </c>
      <c r="I5" s="50">
        <f>H5/D5</f>
        <v>0.6413994169096211</v>
      </c>
      <c r="J5" s="51">
        <f t="shared" ref="J5:J13" si="0">4*E5</f>
        <v>1.6</v>
      </c>
      <c r="K5" s="50">
        <f t="shared" ref="K5:K13" si="1">J5/D5</f>
        <v>0.11661807580174929</v>
      </c>
      <c r="L5" s="51">
        <f>M5*D5</f>
        <v>0.41159999999999997</v>
      </c>
      <c r="M5" s="50">
        <v>0.03</v>
      </c>
      <c r="N5" s="51">
        <f>O5*D5</f>
        <v>0</v>
      </c>
      <c r="O5" s="50">
        <v>0</v>
      </c>
      <c r="P5" s="51">
        <f>Q5*D5</f>
        <v>3.9787999999999997E-2</v>
      </c>
      <c r="Q5" s="50">
        <v>2.8999999999999998E-3</v>
      </c>
      <c r="R5" s="51">
        <f>S5*D5</f>
        <v>0.27577199999999996</v>
      </c>
      <c r="S5" s="50">
        <v>2.01E-2</v>
      </c>
      <c r="T5" s="219">
        <f>SUM(R5+P5+N5+L5+J5+H5+F5+D5)</f>
        <v>24.847159999999999</v>
      </c>
      <c r="U5" s="220"/>
    </row>
    <row r="6" spans="1:22" x14ac:dyDescent="0.25">
      <c r="A6" s="52" t="s">
        <v>81</v>
      </c>
      <c r="C6" s="41"/>
      <c r="D6" s="42">
        <f t="shared" ref="D6:D14" si="2">E6*$D$27</f>
        <v>15.434999999999999</v>
      </c>
      <c r="E6" s="44">
        <v>0.45</v>
      </c>
      <c r="F6" s="42">
        <f>G6*D6</f>
        <v>0</v>
      </c>
      <c r="G6" s="44">
        <v>0</v>
      </c>
      <c r="H6" s="45">
        <v>8.8000000000000007</v>
      </c>
      <c r="I6" s="44">
        <f t="shared" ref="I6:I14" si="3">H6/D6</f>
        <v>0.57013281503077429</v>
      </c>
      <c r="J6" s="45">
        <f t="shared" si="0"/>
        <v>1.8</v>
      </c>
      <c r="K6" s="44">
        <f t="shared" si="1"/>
        <v>0.11661807580174928</v>
      </c>
      <c r="L6" s="45">
        <f t="shared" ref="L6:L14" si="4">M6*D6</f>
        <v>0.46304999999999996</v>
      </c>
      <c r="M6" s="44">
        <v>0.03</v>
      </c>
      <c r="N6" s="45">
        <f t="shared" ref="N6:N14" si="5">O6*D6</f>
        <v>0</v>
      </c>
      <c r="O6" s="44">
        <v>0</v>
      </c>
      <c r="P6" s="45">
        <f t="shared" ref="P6:P14" si="6">Q6*D6</f>
        <v>4.4761499999999996E-2</v>
      </c>
      <c r="Q6" s="44">
        <v>2.8999999999999998E-3</v>
      </c>
      <c r="R6" s="45">
        <f t="shared" ref="R6:R14" si="7">S6*D6</f>
        <v>0.31024349999999995</v>
      </c>
      <c r="S6" s="44">
        <v>2.01E-2</v>
      </c>
      <c r="T6" s="225">
        <f t="shared" ref="T6:T12" si="8">SUM(R6+P6+N6+L6+J6+H6+F6+D6)</f>
        <v>26.853054999999998</v>
      </c>
      <c r="U6" s="226"/>
    </row>
    <row r="7" spans="1:22" x14ac:dyDescent="0.25">
      <c r="A7" s="46" t="s">
        <v>82</v>
      </c>
      <c r="B7" s="47" t="s">
        <v>81</v>
      </c>
      <c r="C7" s="48"/>
      <c r="D7" s="49">
        <f t="shared" si="2"/>
        <v>17.149999999999999</v>
      </c>
      <c r="E7" s="50">
        <v>0.5</v>
      </c>
      <c r="F7" s="49">
        <f>G7*D7</f>
        <v>2.4301549999999996</v>
      </c>
      <c r="G7" s="50">
        <v>0.14169999999999999</v>
      </c>
      <c r="H7" s="51">
        <v>8.8000000000000007</v>
      </c>
      <c r="I7" s="50">
        <f t="shared" si="3"/>
        <v>0.5131195335276969</v>
      </c>
      <c r="J7" s="51">
        <f t="shared" si="0"/>
        <v>2</v>
      </c>
      <c r="K7" s="50">
        <f t="shared" si="1"/>
        <v>0.11661807580174928</v>
      </c>
      <c r="L7" s="51">
        <f t="shared" si="4"/>
        <v>0.51449999999999996</v>
      </c>
      <c r="M7" s="50">
        <v>0.03</v>
      </c>
      <c r="N7" s="51">
        <f t="shared" si="5"/>
        <v>2.3598399999999997</v>
      </c>
      <c r="O7" s="50">
        <v>0.1376</v>
      </c>
      <c r="P7" s="51">
        <f t="shared" si="6"/>
        <v>4.9734999999999994E-2</v>
      </c>
      <c r="Q7" s="50">
        <v>2.8999999999999998E-3</v>
      </c>
      <c r="R7" s="51">
        <f t="shared" si="7"/>
        <v>0.34471499999999999</v>
      </c>
      <c r="S7" s="50">
        <v>2.01E-2</v>
      </c>
      <c r="T7" s="219">
        <v>33.64</v>
      </c>
      <c r="U7" s="220"/>
    </row>
    <row r="8" spans="1:22" x14ac:dyDescent="0.25">
      <c r="A8" s="52" t="s">
        <v>83</v>
      </c>
      <c r="C8" s="41"/>
      <c r="D8" s="42">
        <f t="shared" si="2"/>
        <v>18.864999999999998</v>
      </c>
      <c r="E8" s="44">
        <v>0.55000000000000004</v>
      </c>
      <c r="F8" s="42">
        <f t="shared" ref="F8:F14" si="9">G8*D8</f>
        <v>2.6731704999999994</v>
      </c>
      <c r="G8" s="44">
        <v>0.14169999999999999</v>
      </c>
      <c r="H8" s="45">
        <v>8.8000000000000007</v>
      </c>
      <c r="I8" s="44">
        <f t="shared" si="3"/>
        <v>0.46647230320699717</v>
      </c>
      <c r="J8" s="45">
        <f t="shared" si="0"/>
        <v>2.2000000000000002</v>
      </c>
      <c r="K8" s="44">
        <f t="shared" si="1"/>
        <v>0.11661807580174929</v>
      </c>
      <c r="L8" s="45">
        <f t="shared" si="4"/>
        <v>0.56594999999999995</v>
      </c>
      <c r="M8" s="44">
        <v>0.03</v>
      </c>
      <c r="N8" s="45">
        <f t="shared" si="5"/>
        <v>2.5958239999999999</v>
      </c>
      <c r="O8" s="44">
        <v>0.1376</v>
      </c>
      <c r="P8" s="45">
        <f t="shared" si="6"/>
        <v>5.4708499999999993E-2</v>
      </c>
      <c r="Q8" s="44">
        <v>2.8999999999999998E-3</v>
      </c>
      <c r="R8" s="45">
        <f t="shared" si="7"/>
        <v>0.37918649999999998</v>
      </c>
      <c r="S8" s="44">
        <v>2.01E-2</v>
      </c>
      <c r="T8" s="225">
        <v>36.14</v>
      </c>
      <c r="U8" s="226"/>
    </row>
    <row r="9" spans="1:22" x14ac:dyDescent="0.25">
      <c r="A9" s="46" t="s">
        <v>84</v>
      </c>
      <c r="B9" s="47" t="s">
        <v>82</v>
      </c>
      <c r="C9" s="48"/>
      <c r="D9" s="49">
        <f t="shared" si="2"/>
        <v>20.58</v>
      </c>
      <c r="E9" s="50">
        <v>0.6</v>
      </c>
      <c r="F9" s="49">
        <f t="shared" si="9"/>
        <v>2.9161859999999997</v>
      </c>
      <c r="G9" s="50">
        <v>0.14169999999999999</v>
      </c>
      <c r="H9" s="51">
        <v>8.8000000000000007</v>
      </c>
      <c r="I9" s="50">
        <f t="shared" si="3"/>
        <v>0.42759961127308072</v>
      </c>
      <c r="J9" s="51">
        <f t="shared" si="0"/>
        <v>2.4</v>
      </c>
      <c r="K9" s="50">
        <f t="shared" si="1"/>
        <v>0.11661807580174928</v>
      </c>
      <c r="L9" s="51">
        <f t="shared" si="4"/>
        <v>0.61739999999999995</v>
      </c>
      <c r="M9" s="50">
        <v>0.03</v>
      </c>
      <c r="N9" s="51">
        <f t="shared" si="5"/>
        <v>2.8318079999999997</v>
      </c>
      <c r="O9" s="50">
        <v>0.1376</v>
      </c>
      <c r="P9" s="51">
        <f t="shared" si="6"/>
        <v>5.9681999999999992E-2</v>
      </c>
      <c r="Q9" s="50">
        <v>2.8999999999999998E-3</v>
      </c>
      <c r="R9" s="51">
        <f t="shared" si="7"/>
        <v>0.41365799999999997</v>
      </c>
      <c r="S9" s="50">
        <v>2.01E-2</v>
      </c>
      <c r="T9" s="219">
        <f t="shared" si="8"/>
        <v>38.618733999999996</v>
      </c>
      <c r="U9" s="220"/>
    </row>
    <row r="10" spans="1:22" x14ac:dyDescent="0.25">
      <c r="A10" s="52" t="s">
        <v>85</v>
      </c>
      <c r="C10" s="41"/>
      <c r="D10" s="42">
        <f t="shared" si="2"/>
        <v>22.294999999999998</v>
      </c>
      <c r="E10" s="44">
        <v>0.65</v>
      </c>
      <c r="F10" s="42">
        <f t="shared" si="9"/>
        <v>3.1592014999999996</v>
      </c>
      <c r="G10" s="44">
        <v>0.14169999999999999</v>
      </c>
      <c r="H10" s="45">
        <v>8.8000000000000007</v>
      </c>
      <c r="I10" s="44">
        <f t="shared" si="3"/>
        <v>0.39470733348284376</v>
      </c>
      <c r="J10" s="45">
        <f t="shared" si="0"/>
        <v>2.6</v>
      </c>
      <c r="K10" s="44">
        <f t="shared" si="1"/>
        <v>0.11661807580174928</v>
      </c>
      <c r="L10" s="45">
        <f t="shared" si="4"/>
        <v>0.66884999999999994</v>
      </c>
      <c r="M10" s="44">
        <v>0.03</v>
      </c>
      <c r="N10" s="45">
        <f t="shared" si="5"/>
        <v>3.0677919999999999</v>
      </c>
      <c r="O10" s="44">
        <v>0.1376</v>
      </c>
      <c r="P10" s="45">
        <f t="shared" si="6"/>
        <v>6.4655499999999991E-2</v>
      </c>
      <c r="Q10" s="44">
        <v>2.8999999999999998E-3</v>
      </c>
      <c r="R10" s="45">
        <f t="shared" si="7"/>
        <v>0.44812949999999996</v>
      </c>
      <c r="S10" s="44">
        <v>2.01E-2</v>
      </c>
      <c r="T10" s="225">
        <v>41.11</v>
      </c>
      <c r="U10" s="226"/>
    </row>
    <row r="11" spans="1:22" s="67" customFormat="1" x14ac:dyDescent="0.25">
      <c r="A11" s="60" t="s">
        <v>86</v>
      </c>
      <c r="B11" s="61" t="s">
        <v>83</v>
      </c>
      <c r="C11" s="62"/>
      <c r="D11" s="63">
        <f t="shared" si="2"/>
        <v>24.009999999999998</v>
      </c>
      <c r="E11" s="64">
        <v>0.7</v>
      </c>
      <c r="F11" s="63">
        <f t="shared" si="9"/>
        <v>3.4022169999999994</v>
      </c>
      <c r="G11" s="64">
        <v>0.14169999999999999</v>
      </c>
      <c r="H11" s="65">
        <v>8.8000000000000007</v>
      </c>
      <c r="I11" s="64">
        <f t="shared" si="3"/>
        <v>0.36651395251978347</v>
      </c>
      <c r="J11" s="65">
        <f t="shared" si="0"/>
        <v>2.8</v>
      </c>
      <c r="K11" s="64">
        <f t="shared" si="1"/>
        <v>0.11661807580174928</v>
      </c>
      <c r="L11" s="65">
        <f t="shared" si="4"/>
        <v>0.72029999999999994</v>
      </c>
      <c r="M11" s="64">
        <v>0.03</v>
      </c>
      <c r="N11" s="65">
        <f t="shared" si="5"/>
        <v>3.3037759999999996</v>
      </c>
      <c r="O11" s="64">
        <v>0.1376</v>
      </c>
      <c r="P11" s="65">
        <f t="shared" si="6"/>
        <v>6.9628999999999983E-2</v>
      </c>
      <c r="Q11" s="64">
        <v>2.8999999999999998E-3</v>
      </c>
      <c r="R11" s="65">
        <f t="shared" si="7"/>
        <v>0.48260099999999995</v>
      </c>
      <c r="S11" s="64">
        <v>2.01E-2</v>
      </c>
      <c r="T11" s="227">
        <v>43.58</v>
      </c>
      <c r="U11" s="228"/>
      <c r="V11" s="66">
        <f>H11+J11+L11+N11+P11+R11</f>
        <v>16.176306</v>
      </c>
    </row>
    <row r="12" spans="1:22" x14ac:dyDescent="0.25">
      <c r="A12" s="52" t="s">
        <v>87</v>
      </c>
      <c r="C12" s="41"/>
      <c r="D12" s="42">
        <f t="shared" si="2"/>
        <v>26.067999999999998</v>
      </c>
      <c r="E12" s="44">
        <v>0.76</v>
      </c>
      <c r="F12" s="42">
        <f t="shared" si="9"/>
        <v>3.6938355999999994</v>
      </c>
      <c r="G12" s="44">
        <v>0.14169999999999999</v>
      </c>
      <c r="H12" s="45">
        <v>8.8000000000000007</v>
      </c>
      <c r="I12" s="44">
        <f t="shared" si="3"/>
        <v>0.33757864047874797</v>
      </c>
      <c r="J12" s="45">
        <f t="shared" si="0"/>
        <v>3.04</v>
      </c>
      <c r="K12" s="44">
        <f t="shared" si="1"/>
        <v>0.11661807580174928</v>
      </c>
      <c r="L12" s="45">
        <f t="shared" si="4"/>
        <v>0.78203999999999996</v>
      </c>
      <c r="M12" s="44">
        <v>0.03</v>
      </c>
      <c r="N12" s="45">
        <f t="shared" si="5"/>
        <v>3.5869567999999998</v>
      </c>
      <c r="O12" s="44">
        <v>0.1376</v>
      </c>
      <c r="P12" s="45">
        <f t="shared" si="6"/>
        <v>7.5597199999999989E-2</v>
      </c>
      <c r="Q12" s="44">
        <v>2.8999999999999998E-3</v>
      </c>
      <c r="R12" s="45">
        <f t="shared" si="7"/>
        <v>0.52396679999999995</v>
      </c>
      <c r="S12" s="44">
        <v>2.01E-2</v>
      </c>
      <c r="T12" s="225">
        <f t="shared" si="8"/>
        <v>46.5703964</v>
      </c>
      <c r="U12" s="226"/>
    </row>
    <row r="13" spans="1:22" x14ac:dyDescent="0.25">
      <c r="A13" s="46" t="s">
        <v>88</v>
      </c>
      <c r="B13" s="47" t="s">
        <v>84</v>
      </c>
      <c r="C13" s="48"/>
      <c r="D13" s="49">
        <f t="shared" si="2"/>
        <v>28.468999999999998</v>
      </c>
      <c r="E13" s="50">
        <v>0.83</v>
      </c>
      <c r="F13" s="49">
        <f t="shared" si="9"/>
        <v>4.0340572999999997</v>
      </c>
      <c r="G13" s="50">
        <v>0.14169999999999999</v>
      </c>
      <c r="H13" s="51">
        <v>8.8000000000000007</v>
      </c>
      <c r="I13" s="50">
        <f t="shared" si="3"/>
        <v>0.30910815272752823</v>
      </c>
      <c r="J13" s="51">
        <f t="shared" si="0"/>
        <v>3.32</v>
      </c>
      <c r="K13" s="50">
        <f t="shared" si="1"/>
        <v>0.11661807580174928</v>
      </c>
      <c r="L13" s="51">
        <f t="shared" si="4"/>
        <v>0.85406999999999988</v>
      </c>
      <c r="M13" s="50">
        <v>0.03</v>
      </c>
      <c r="N13" s="51">
        <f t="shared" si="5"/>
        <v>3.9173343999999997</v>
      </c>
      <c r="O13" s="50">
        <v>0.1376</v>
      </c>
      <c r="P13" s="51">
        <f t="shared" si="6"/>
        <v>8.2560099999999983E-2</v>
      </c>
      <c r="Q13" s="50">
        <v>2.8999999999999998E-3</v>
      </c>
      <c r="R13" s="51">
        <f t="shared" si="7"/>
        <v>0.57222689999999998</v>
      </c>
      <c r="S13" s="50">
        <v>2.01E-2</v>
      </c>
      <c r="T13" s="219">
        <v>50.04</v>
      </c>
      <c r="U13" s="220"/>
    </row>
    <row r="14" spans="1:22" x14ac:dyDescent="0.25">
      <c r="A14" s="52" t="s">
        <v>89</v>
      </c>
      <c r="C14" s="41"/>
      <c r="D14" s="42">
        <f t="shared" si="2"/>
        <v>31.212999999999997</v>
      </c>
      <c r="E14" s="44">
        <v>0.91</v>
      </c>
      <c r="F14" s="42">
        <f t="shared" si="9"/>
        <v>4.4228820999999998</v>
      </c>
      <c r="G14" s="44">
        <v>0.14169999999999999</v>
      </c>
      <c r="H14" s="45">
        <v>8.8000000000000007</v>
      </c>
      <c r="I14" s="44">
        <f t="shared" si="3"/>
        <v>0.28193380963060266</v>
      </c>
      <c r="J14" s="45">
        <f>4*E14</f>
        <v>3.64</v>
      </c>
      <c r="K14" s="44">
        <f>J14/D14</f>
        <v>0.11661807580174928</v>
      </c>
      <c r="L14" s="45">
        <f t="shared" si="4"/>
        <v>0.93638999999999983</v>
      </c>
      <c r="M14" s="44">
        <v>0.03</v>
      </c>
      <c r="N14" s="45">
        <f t="shared" si="5"/>
        <v>4.2949088</v>
      </c>
      <c r="O14" s="44">
        <v>0.1376</v>
      </c>
      <c r="P14" s="45">
        <f t="shared" si="6"/>
        <v>9.0517699999999993E-2</v>
      </c>
      <c r="Q14" s="44">
        <v>2.8999999999999998E-3</v>
      </c>
      <c r="R14" s="45">
        <f t="shared" si="7"/>
        <v>0.62738129999999992</v>
      </c>
      <c r="S14" s="44">
        <v>2.01E-2</v>
      </c>
      <c r="T14" s="225">
        <v>54.02</v>
      </c>
      <c r="U14" s="226"/>
    </row>
    <row r="15" spans="1:22" x14ac:dyDescent="0.25">
      <c r="C15" s="41"/>
      <c r="D15" s="42"/>
      <c r="E15" s="44"/>
      <c r="F15" s="42"/>
      <c r="G15" s="44"/>
      <c r="H15" s="45"/>
      <c r="I15" s="44"/>
      <c r="J15" s="45"/>
      <c r="K15" s="44"/>
      <c r="L15" s="45"/>
      <c r="M15" s="44"/>
      <c r="N15" s="45"/>
      <c r="O15" s="44"/>
      <c r="P15" s="45"/>
      <c r="Q15" s="44"/>
      <c r="R15" s="45"/>
      <c r="S15" s="44"/>
      <c r="T15" s="225"/>
      <c r="U15" s="226"/>
    </row>
    <row r="16" spans="1:22" x14ac:dyDescent="0.25">
      <c r="A16" s="53" t="s">
        <v>90</v>
      </c>
      <c r="C16" s="45" t="s">
        <v>91</v>
      </c>
      <c r="E16" s="44"/>
      <c r="F16" s="42"/>
      <c r="G16" s="44"/>
      <c r="H16" s="45"/>
      <c r="I16" s="44"/>
      <c r="J16" s="45"/>
      <c r="K16" s="44"/>
      <c r="L16" s="45"/>
      <c r="M16" s="44"/>
      <c r="N16" s="45"/>
      <c r="O16" s="44"/>
      <c r="P16" s="45"/>
      <c r="Q16" s="44"/>
      <c r="R16" s="45"/>
      <c r="S16" s="44"/>
      <c r="T16" s="225"/>
      <c r="U16" s="226"/>
    </row>
    <row r="17" spans="1:21" x14ac:dyDescent="0.25">
      <c r="A17" s="47"/>
      <c r="B17" s="47" t="s">
        <v>80</v>
      </c>
      <c r="C17" s="48"/>
      <c r="D17" s="49">
        <v>13.6</v>
      </c>
      <c r="E17" s="50">
        <v>0.4</v>
      </c>
      <c r="F17" s="49">
        <f>G17*D17</f>
        <v>0</v>
      </c>
      <c r="G17" s="50">
        <v>0</v>
      </c>
      <c r="H17" s="51">
        <v>8.9600000000000009</v>
      </c>
      <c r="I17" s="50">
        <f>H17/D17</f>
        <v>0.65882352941176481</v>
      </c>
      <c r="J17" s="51">
        <v>0</v>
      </c>
      <c r="K17" s="50">
        <f>J17/D17</f>
        <v>0</v>
      </c>
      <c r="L17" s="51">
        <f>M17*D17</f>
        <v>0.40799999999999997</v>
      </c>
      <c r="M17" s="50">
        <v>0.03</v>
      </c>
      <c r="N17" s="51">
        <f>O17*D17</f>
        <v>0</v>
      </c>
      <c r="O17" s="50">
        <v>0</v>
      </c>
      <c r="P17" s="51">
        <f>Q17*D17</f>
        <v>0</v>
      </c>
      <c r="Q17" s="50">
        <v>0</v>
      </c>
      <c r="R17" s="51">
        <f>S17*D17</f>
        <v>0</v>
      </c>
      <c r="S17" s="50">
        <v>0</v>
      </c>
      <c r="T17" s="219">
        <f>SUM(R17+P17+N17+L17+J17+H17+F17+D17)</f>
        <v>22.968</v>
      </c>
      <c r="U17" s="220"/>
    </row>
    <row r="18" spans="1:21" x14ac:dyDescent="0.25">
      <c r="B18" s="39" t="s">
        <v>81</v>
      </c>
      <c r="C18" s="41"/>
      <c r="D18" s="42">
        <v>15.3</v>
      </c>
      <c r="E18" s="44">
        <v>0.45</v>
      </c>
      <c r="F18" s="42">
        <f>G18*D18</f>
        <v>1.1092500000000001</v>
      </c>
      <c r="G18" s="44">
        <v>7.2499999999999995E-2</v>
      </c>
      <c r="H18" s="45">
        <v>8.9600000000000009</v>
      </c>
      <c r="I18" s="44">
        <f>H18/D18</f>
        <v>0.58562091503267977</v>
      </c>
      <c r="J18" s="45">
        <v>0</v>
      </c>
      <c r="K18" s="44">
        <f>J18/D18</f>
        <v>0</v>
      </c>
      <c r="L18" s="45">
        <f>M18*D18</f>
        <v>0.45900000000000002</v>
      </c>
      <c r="M18" s="44">
        <v>0.03</v>
      </c>
      <c r="N18" s="45">
        <f>O18*D18</f>
        <v>0</v>
      </c>
      <c r="O18" s="44">
        <v>0</v>
      </c>
      <c r="P18" s="45">
        <f>Q18*D18</f>
        <v>0</v>
      </c>
      <c r="Q18" s="44">
        <v>0</v>
      </c>
      <c r="R18" s="45">
        <f>S18*D18</f>
        <v>0</v>
      </c>
      <c r="S18" s="44">
        <v>0</v>
      </c>
      <c r="T18" s="225">
        <f>SUM(R18+P18+N18+L18+J18+H18+F18+D18)</f>
        <v>25.828250000000001</v>
      </c>
      <c r="U18" s="226"/>
    </row>
    <row r="19" spans="1:21" x14ac:dyDescent="0.25">
      <c r="A19" s="47"/>
      <c r="B19" s="47" t="s">
        <v>82</v>
      </c>
      <c r="C19" s="48"/>
      <c r="D19" s="49">
        <v>20.399999999999999</v>
      </c>
      <c r="E19" s="50">
        <v>0.6</v>
      </c>
      <c r="F19" s="49">
        <f>G19*D19</f>
        <v>1.4789999999999999</v>
      </c>
      <c r="G19" s="50">
        <v>7.2499999999999995E-2</v>
      </c>
      <c r="H19" s="51">
        <v>8.9600000000000009</v>
      </c>
      <c r="I19" s="50">
        <f>H19/D19</f>
        <v>0.43921568627450985</v>
      </c>
      <c r="J19" s="51">
        <f>K19*D19</f>
        <v>1.8727199999999999</v>
      </c>
      <c r="K19" s="50">
        <v>9.1800000000000007E-2</v>
      </c>
      <c r="L19" s="51">
        <f>M19*D19</f>
        <v>0.61199999999999999</v>
      </c>
      <c r="M19" s="50">
        <v>0.03</v>
      </c>
      <c r="N19" s="51">
        <f>O19*D19</f>
        <v>1.1199599999999998</v>
      </c>
      <c r="O19" s="50">
        <v>5.4899999999999997E-2</v>
      </c>
      <c r="P19" s="51">
        <f>Q19*D19</f>
        <v>0</v>
      </c>
      <c r="Q19" s="50">
        <v>0</v>
      </c>
      <c r="R19" s="51">
        <f>S19*D19</f>
        <v>0</v>
      </c>
      <c r="S19" s="50">
        <v>0</v>
      </c>
      <c r="T19" s="219">
        <f>SUM(R19+P19+N19+L19+J19+H19+F19+D19)</f>
        <v>34.443680000000001</v>
      </c>
      <c r="U19" s="220"/>
    </row>
    <row r="20" spans="1:21" x14ac:dyDescent="0.25">
      <c r="C20" s="41"/>
      <c r="D20" s="42"/>
      <c r="E20" s="44"/>
      <c r="F20" s="42"/>
      <c r="G20" s="44"/>
      <c r="H20" s="45"/>
      <c r="I20" s="44"/>
      <c r="J20" s="45"/>
      <c r="K20" s="44"/>
      <c r="L20" s="45"/>
      <c r="M20" s="44"/>
      <c r="N20" s="45"/>
      <c r="O20" s="44"/>
      <c r="P20" s="45"/>
      <c r="Q20" s="44"/>
      <c r="R20" s="45"/>
      <c r="S20" s="44"/>
      <c r="T20" s="225"/>
      <c r="U20" s="226"/>
    </row>
    <row r="21" spans="1:21" x14ac:dyDescent="0.25">
      <c r="A21" s="39" t="s">
        <v>90</v>
      </c>
      <c r="C21" s="45" t="s">
        <v>92</v>
      </c>
      <c r="E21" s="44"/>
      <c r="F21" s="42"/>
      <c r="G21" s="44"/>
      <c r="H21" s="45"/>
      <c r="I21" s="44"/>
      <c r="J21" s="45"/>
      <c r="K21" s="44"/>
      <c r="L21" s="45"/>
      <c r="M21" s="44"/>
      <c r="N21" s="45"/>
      <c r="O21" s="44"/>
      <c r="P21" s="45"/>
      <c r="Q21" s="44"/>
      <c r="R21" s="45"/>
      <c r="S21" s="44"/>
      <c r="T21" s="225"/>
      <c r="U21" s="226"/>
    </row>
    <row r="22" spans="1:21" x14ac:dyDescent="0.25">
      <c r="A22" s="47"/>
      <c r="B22" s="47" t="s">
        <v>80</v>
      </c>
      <c r="C22" s="48"/>
      <c r="D22" s="49">
        <f>E22*$D$27</f>
        <v>13.719999999999999</v>
      </c>
      <c r="E22" s="50">
        <v>0.4</v>
      </c>
      <c r="F22" s="49">
        <f>G22*D22</f>
        <v>0</v>
      </c>
      <c r="G22" s="50">
        <v>0</v>
      </c>
      <c r="H22" s="51">
        <v>8.9600000000000009</v>
      </c>
      <c r="I22" s="50">
        <f>H22/D22</f>
        <v>0.65306122448979609</v>
      </c>
      <c r="J22" s="51">
        <v>0</v>
      </c>
      <c r="K22" s="50">
        <f>J22/D22</f>
        <v>0</v>
      </c>
      <c r="L22" s="51">
        <f>M22*D22</f>
        <v>0.41159999999999997</v>
      </c>
      <c r="M22" s="50">
        <v>0.03</v>
      </c>
      <c r="N22" s="51">
        <f>O22*D22</f>
        <v>0</v>
      </c>
      <c r="O22" s="50">
        <v>0</v>
      </c>
      <c r="P22" s="51">
        <f>Q22*D22</f>
        <v>3.9787999999999997E-2</v>
      </c>
      <c r="Q22" s="50">
        <v>2.8999999999999998E-3</v>
      </c>
      <c r="R22" s="51">
        <f>S22*D22</f>
        <v>0.27577199999999996</v>
      </c>
      <c r="S22" s="50">
        <v>2.01E-2</v>
      </c>
      <c r="T22" s="219">
        <f>SUM(R22+P22+N22+L22+J22+H22+F22+D22)</f>
        <v>23.407159999999998</v>
      </c>
      <c r="U22" s="220"/>
    </row>
    <row r="23" spans="1:21" x14ac:dyDescent="0.25">
      <c r="B23" s="39" t="s">
        <v>81</v>
      </c>
      <c r="C23" s="41"/>
      <c r="D23" s="42">
        <v>15.44</v>
      </c>
      <c r="E23" s="44">
        <v>0.45</v>
      </c>
      <c r="F23" s="42">
        <f>G23*D23</f>
        <v>1.1194</v>
      </c>
      <c r="G23" s="44">
        <v>7.2499999999999995E-2</v>
      </c>
      <c r="H23" s="45">
        <v>8.9600000000000009</v>
      </c>
      <c r="I23" s="44">
        <f>H23/D23</f>
        <v>0.58031088082901561</v>
      </c>
      <c r="J23" s="45">
        <v>0</v>
      </c>
      <c r="K23" s="44">
        <f>J23/D23</f>
        <v>0</v>
      </c>
      <c r="L23" s="45">
        <f>M23*D23</f>
        <v>0.46319999999999995</v>
      </c>
      <c r="M23" s="44">
        <v>0.03</v>
      </c>
      <c r="N23" s="45">
        <f>O23*D23</f>
        <v>0</v>
      </c>
      <c r="O23" s="44">
        <v>0</v>
      </c>
      <c r="P23" s="45">
        <f>Q23*D23</f>
        <v>4.4775999999999996E-2</v>
      </c>
      <c r="Q23" s="44">
        <v>2.8999999999999998E-3</v>
      </c>
      <c r="R23" s="45">
        <f>S23*D23</f>
        <v>0.31034400000000001</v>
      </c>
      <c r="S23" s="44">
        <v>2.01E-2</v>
      </c>
      <c r="T23" s="225">
        <v>26.33</v>
      </c>
      <c r="U23" s="226"/>
    </row>
    <row r="24" spans="1:21" x14ac:dyDescent="0.25">
      <c r="A24" s="47"/>
      <c r="B24" s="47" t="s">
        <v>82</v>
      </c>
      <c r="C24" s="48"/>
      <c r="D24" s="49">
        <v>20.58</v>
      </c>
      <c r="E24" s="50">
        <v>0.6</v>
      </c>
      <c r="F24" s="49">
        <f>G24*D24</f>
        <v>1.4920499999999999</v>
      </c>
      <c r="G24" s="50">
        <v>7.2499999999999995E-2</v>
      </c>
      <c r="H24" s="51">
        <v>8.9600000000000009</v>
      </c>
      <c r="I24" s="50">
        <f>H24/D24</f>
        <v>0.43537414965986404</v>
      </c>
      <c r="J24" s="51">
        <f>D24*K24</f>
        <v>1.8892439999999999</v>
      </c>
      <c r="K24" s="50">
        <v>9.1800000000000007E-2</v>
      </c>
      <c r="L24" s="51">
        <f>M24*D24</f>
        <v>0.61739999999999995</v>
      </c>
      <c r="M24" s="50">
        <v>0.03</v>
      </c>
      <c r="N24" s="51">
        <f>O24*D24</f>
        <v>1.0907399999999998</v>
      </c>
      <c r="O24" s="50">
        <v>5.2999999999999999E-2</v>
      </c>
      <c r="P24" s="51">
        <f>Q24*D24</f>
        <v>5.9681999999999992E-2</v>
      </c>
      <c r="Q24" s="50">
        <v>2.8999999999999998E-3</v>
      </c>
      <c r="R24" s="51">
        <f>S24*D24</f>
        <v>0.41365799999999997</v>
      </c>
      <c r="S24" s="50">
        <v>2.01E-2</v>
      </c>
      <c r="T24" s="219">
        <f>SUM(R24+P24+N24+L24+J24+H24+F24+D24)</f>
        <v>35.102773999999997</v>
      </c>
      <c r="U24" s="220"/>
    </row>
    <row r="25" spans="1:21" x14ac:dyDescent="0.25">
      <c r="C25" s="41"/>
      <c r="D25" s="42"/>
      <c r="E25" s="44"/>
      <c r="F25" s="42"/>
      <c r="G25" s="44"/>
      <c r="H25" s="45"/>
      <c r="I25" s="44"/>
      <c r="J25" s="45"/>
      <c r="K25" s="44"/>
      <c r="L25" s="45"/>
      <c r="M25" s="44"/>
      <c r="N25" s="45"/>
      <c r="O25" s="44"/>
      <c r="P25" s="45"/>
      <c r="Q25" s="44"/>
      <c r="R25" s="45"/>
      <c r="S25" s="44"/>
      <c r="T25" s="54"/>
      <c r="U25" s="55"/>
    </row>
    <row r="26" spans="1:21" x14ac:dyDescent="0.25">
      <c r="A26" s="39" t="s">
        <v>93</v>
      </c>
      <c r="C26" s="41"/>
      <c r="D26" s="42">
        <v>34</v>
      </c>
      <c r="E26" s="44">
        <f>D26/D27</f>
        <v>0.99125364431486884</v>
      </c>
      <c r="F26" s="42">
        <v>4.55</v>
      </c>
      <c r="G26" s="44">
        <f>F26/D26</f>
        <v>0.1338235294117647</v>
      </c>
      <c r="H26" s="45">
        <v>8.8000000000000007</v>
      </c>
      <c r="I26" s="44">
        <f>H26/D26</f>
        <v>0.25882352941176473</v>
      </c>
      <c r="J26" s="45">
        <v>4</v>
      </c>
      <c r="K26" s="44">
        <f>J26/D26</f>
        <v>0.11764705882352941</v>
      </c>
      <c r="L26" s="45">
        <v>1.03</v>
      </c>
      <c r="M26" s="44">
        <v>0.03</v>
      </c>
      <c r="N26" s="45">
        <v>4.42</v>
      </c>
      <c r="O26" s="44">
        <v>0.13</v>
      </c>
      <c r="P26" s="45">
        <v>0.1</v>
      </c>
      <c r="Q26" s="44">
        <v>2.8999999999999998E-3</v>
      </c>
      <c r="R26" s="45">
        <v>0.69</v>
      </c>
      <c r="S26" s="44">
        <v>2.01E-2</v>
      </c>
      <c r="T26" s="225">
        <f>SUM(R26+P26+N26+L26+J26+H26+F26+D26)</f>
        <v>57.59</v>
      </c>
      <c r="U26" s="226"/>
    </row>
    <row r="27" spans="1:21" x14ac:dyDescent="0.25">
      <c r="A27" s="47" t="s">
        <v>94</v>
      </c>
      <c r="B27" s="47"/>
      <c r="C27" s="48"/>
      <c r="D27" s="49">
        <v>34.299999999999997</v>
      </c>
      <c r="E27" s="50">
        <v>1</v>
      </c>
      <c r="F27" s="49">
        <v>4.8600000000000003</v>
      </c>
      <c r="G27" s="50">
        <v>0.14169999999999999</v>
      </c>
      <c r="H27" s="51">
        <v>8.8000000000000007</v>
      </c>
      <c r="I27" s="50">
        <v>0.25659999999999999</v>
      </c>
      <c r="J27" s="51">
        <v>4</v>
      </c>
      <c r="K27" s="50">
        <v>0.1166</v>
      </c>
      <c r="L27" s="51">
        <v>1.03</v>
      </c>
      <c r="M27" s="50">
        <v>0.03</v>
      </c>
      <c r="N27" s="51">
        <v>4.72</v>
      </c>
      <c r="O27" s="50">
        <v>0.1376</v>
      </c>
      <c r="P27" s="51">
        <v>0.1</v>
      </c>
      <c r="Q27" s="50">
        <v>2.8999999999999998E-3</v>
      </c>
      <c r="R27" s="51">
        <v>0.69</v>
      </c>
      <c r="S27" s="50">
        <v>2.01E-2</v>
      </c>
      <c r="T27" s="219">
        <f>SUM(R27+P27+N27+L27+J27+H27+F27+D27)</f>
        <v>58.5</v>
      </c>
      <c r="U27" s="220"/>
    </row>
    <row r="28" spans="1:21" x14ac:dyDescent="0.25">
      <c r="A28" s="39" t="s">
        <v>95</v>
      </c>
      <c r="C28" s="41"/>
      <c r="D28" s="42">
        <v>35.299999999999997</v>
      </c>
      <c r="E28" s="44">
        <f>D28/D27</f>
        <v>1.0291545189504374</v>
      </c>
      <c r="F28" s="42">
        <f>D28*G28</f>
        <v>5.0020099999999994</v>
      </c>
      <c r="G28" s="44">
        <v>0.14169999999999999</v>
      </c>
      <c r="H28" s="45">
        <f>D28*I28</f>
        <v>9.0579799999999988</v>
      </c>
      <c r="I28" s="44">
        <v>0.25659999999999999</v>
      </c>
      <c r="J28" s="45">
        <f>D28*K28</f>
        <v>4.1159799999999995</v>
      </c>
      <c r="K28" s="44">
        <v>0.1166</v>
      </c>
      <c r="L28" s="45">
        <f>D28*M28</f>
        <v>1.0589999999999999</v>
      </c>
      <c r="M28" s="44">
        <v>0.03</v>
      </c>
      <c r="N28" s="45">
        <f>O28*D28</f>
        <v>4.8572799999999994</v>
      </c>
      <c r="O28" s="44">
        <v>0.1376</v>
      </c>
      <c r="P28" s="45">
        <f>Q28*D28</f>
        <v>0.10236999999999999</v>
      </c>
      <c r="Q28" s="44">
        <v>2.8999999999999998E-3</v>
      </c>
      <c r="R28" s="45">
        <f>S28*D28</f>
        <v>0.70952999999999988</v>
      </c>
      <c r="S28" s="44">
        <v>2.01E-2</v>
      </c>
      <c r="T28" s="225">
        <v>60.21</v>
      </c>
      <c r="U28" s="226"/>
    </row>
    <row r="29" spans="1:21" x14ac:dyDescent="0.25">
      <c r="A29" s="47" t="s">
        <v>48</v>
      </c>
      <c r="B29" s="47"/>
      <c r="C29" s="48"/>
      <c r="D29" s="49">
        <v>36.53</v>
      </c>
      <c r="E29" s="50">
        <f>D29/D27</f>
        <v>1.0650145772594752</v>
      </c>
      <c r="F29" s="49">
        <f>D29*G29</f>
        <v>5.1763009999999996</v>
      </c>
      <c r="G29" s="50">
        <v>0.14169999999999999</v>
      </c>
      <c r="H29" s="51">
        <f>D29*I29</f>
        <v>9.3735979999999994</v>
      </c>
      <c r="I29" s="50">
        <v>0.25659999999999999</v>
      </c>
      <c r="J29" s="51">
        <f>D29*K29</f>
        <v>4.259398</v>
      </c>
      <c r="K29" s="50">
        <v>0.1166</v>
      </c>
      <c r="L29" s="51">
        <f>D29*M29</f>
        <v>1.0959000000000001</v>
      </c>
      <c r="M29" s="50">
        <v>0.03</v>
      </c>
      <c r="N29" s="51">
        <f>O29*D29</f>
        <v>5.0265279999999999</v>
      </c>
      <c r="O29" s="50">
        <v>0.1376</v>
      </c>
      <c r="P29" s="51">
        <f>Q29*D29</f>
        <v>0.10593699999999999</v>
      </c>
      <c r="Q29" s="50">
        <v>2.8999999999999998E-3</v>
      </c>
      <c r="R29" s="51">
        <f>S29*D29</f>
        <v>0.73425300000000004</v>
      </c>
      <c r="S29" s="50">
        <v>2.01E-2</v>
      </c>
      <c r="T29" s="219">
        <v>62.31</v>
      </c>
      <c r="U29" s="220"/>
    </row>
    <row r="30" spans="1:21" x14ac:dyDescent="0.25">
      <c r="A30" s="39" t="s">
        <v>96</v>
      </c>
      <c r="C30" s="41"/>
      <c r="D30" s="42">
        <v>37.729999999999997</v>
      </c>
      <c r="E30" s="44">
        <f>D30/D27</f>
        <v>1.1000000000000001</v>
      </c>
      <c r="F30" s="42">
        <f>D30*G30</f>
        <v>5.3463409999999989</v>
      </c>
      <c r="G30" s="44">
        <v>0.14169999999999999</v>
      </c>
      <c r="H30" s="45">
        <f>D30*I30</f>
        <v>9.6815179999999987</v>
      </c>
      <c r="I30" s="44">
        <v>0.25659999999999999</v>
      </c>
      <c r="J30" s="45">
        <f>D30*K30</f>
        <v>4.3993179999999992</v>
      </c>
      <c r="K30" s="44">
        <v>0.1166</v>
      </c>
      <c r="L30" s="45">
        <f>D30*M30</f>
        <v>1.1318999999999999</v>
      </c>
      <c r="M30" s="44">
        <v>0.03</v>
      </c>
      <c r="N30" s="45">
        <f>O30*D30</f>
        <v>5.1916479999999998</v>
      </c>
      <c r="O30" s="44">
        <v>0.1376</v>
      </c>
      <c r="P30" s="45">
        <f>Q30*D30</f>
        <v>0.10941699999999999</v>
      </c>
      <c r="Q30" s="44">
        <v>2.8999999999999998E-3</v>
      </c>
      <c r="R30" s="45">
        <f>S30*D30</f>
        <v>0.75837299999999996</v>
      </c>
      <c r="S30" s="44">
        <v>2.01E-2</v>
      </c>
      <c r="T30" s="225">
        <f>SUM(R30+P30+N30+L30+J30+H30+F30+D30)</f>
        <v>64.348514999999992</v>
      </c>
      <c r="U30" s="226"/>
    </row>
    <row r="31" spans="1:21" x14ac:dyDescent="0.25">
      <c r="A31" s="47" t="s">
        <v>97</v>
      </c>
      <c r="B31" s="47"/>
      <c r="C31" s="48"/>
      <c r="D31" s="49">
        <v>38.76</v>
      </c>
      <c r="E31" s="50">
        <f>D31/D27</f>
        <v>1.1300291545189505</v>
      </c>
      <c r="F31" s="49">
        <f>D31*G31</f>
        <v>5.4922919999999991</v>
      </c>
      <c r="G31" s="50">
        <v>0.14169999999999999</v>
      </c>
      <c r="H31" s="51">
        <f>D31*I31</f>
        <v>9.9458159999999989</v>
      </c>
      <c r="I31" s="50">
        <v>0.25659999999999999</v>
      </c>
      <c r="J31" s="51">
        <f>D31*K31</f>
        <v>4.5194159999999997</v>
      </c>
      <c r="K31" s="50">
        <v>0.1166</v>
      </c>
      <c r="L31" s="51">
        <f>D31*M31</f>
        <v>1.1627999999999998</v>
      </c>
      <c r="M31" s="50">
        <v>0.03</v>
      </c>
      <c r="N31" s="51">
        <f>O31*D31</f>
        <v>5.3333759999999995</v>
      </c>
      <c r="O31" s="50">
        <v>0.1376</v>
      </c>
      <c r="P31" s="51">
        <f>Q31*D31</f>
        <v>0.11240399999999999</v>
      </c>
      <c r="Q31" s="50">
        <v>2.8999999999999998E-3</v>
      </c>
      <c r="R31" s="51">
        <f>S31*D31</f>
        <v>0.77907599999999999</v>
      </c>
      <c r="S31" s="50">
        <v>2.01E-2</v>
      </c>
      <c r="T31" s="219">
        <v>66.099999999999994</v>
      </c>
      <c r="U31" s="220"/>
    </row>
    <row r="32" spans="1:21" x14ac:dyDescent="0.25">
      <c r="C32" s="56"/>
      <c r="D32" s="57"/>
      <c r="E32" s="58"/>
      <c r="F32" s="57"/>
      <c r="G32" s="58"/>
      <c r="H32" s="59"/>
      <c r="I32" s="58"/>
      <c r="J32" s="59"/>
      <c r="K32" s="58"/>
      <c r="L32" s="59"/>
      <c r="M32" s="58"/>
      <c r="N32" s="59"/>
      <c r="O32" s="58"/>
      <c r="P32" s="59"/>
      <c r="Q32" s="58"/>
      <c r="R32" s="59"/>
      <c r="S32" s="58"/>
      <c r="T32" s="229"/>
      <c r="U32" s="230"/>
    </row>
  </sheetData>
  <mergeCells count="38">
    <mergeCell ref="T29:U29"/>
    <mergeCell ref="T30:U30"/>
    <mergeCell ref="T31:U31"/>
    <mergeCell ref="T32:U32"/>
    <mergeCell ref="T22:U22"/>
    <mergeCell ref="T23:U23"/>
    <mergeCell ref="T24:U24"/>
    <mergeCell ref="T26:U26"/>
    <mergeCell ref="T27:U27"/>
    <mergeCell ref="T28:U28"/>
    <mergeCell ref="T21:U21"/>
    <mergeCell ref="T10:U10"/>
    <mergeCell ref="T11:U11"/>
    <mergeCell ref="T12:U12"/>
    <mergeCell ref="T13:U13"/>
    <mergeCell ref="T14:U14"/>
    <mergeCell ref="T15:U15"/>
    <mergeCell ref="T16:U16"/>
    <mergeCell ref="T17:U17"/>
    <mergeCell ref="T18:U18"/>
    <mergeCell ref="T19:U19"/>
    <mergeCell ref="T20:U20"/>
    <mergeCell ref="T9:U9"/>
    <mergeCell ref="A1:U1"/>
    <mergeCell ref="D3:E3"/>
    <mergeCell ref="F3:G3"/>
    <mergeCell ref="H3:I3"/>
    <mergeCell ref="J3:K3"/>
    <mergeCell ref="L3:M3"/>
    <mergeCell ref="N3:O3"/>
    <mergeCell ref="P3:Q3"/>
    <mergeCell ref="R3:S3"/>
    <mergeCell ref="T3:U3"/>
    <mergeCell ref="T4:U4"/>
    <mergeCell ref="T5:U5"/>
    <mergeCell ref="T6:U6"/>
    <mergeCell ref="T7:U7"/>
    <mergeCell ref="T8:U8"/>
  </mergeCells>
  <pageMargins left="0.31" right="0.24" top="1" bottom="1" header="0.5" footer="0.5"/>
  <pageSetup paperSize="5" scale="96" orientation="landscape" copies="8" r:id="rId1"/>
  <headerFooter alignWithMargins="0">
    <oddFooter>&amp;Rp/wage rates/inside-construction-maintenance-agreement-wage-rates_2011_10-06.xls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D49"/>
  <sheetViews>
    <sheetView workbookViewId="0">
      <selection activeCell="H38" sqref="A1:XFD1048576"/>
    </sheetView>
  </sheetViews>
  <sheetFormatPr defaultColWidth="9.109375" defaultRowHeight="13.8" x14ac:dyDescent="0.3"/>
  <cols>
    <col min="1" max="1" width="4.109375" style="76" customWidth="1"/>
    <col min="2" max="2" width="6.33203125" style="76" customWidth="1"/>
    <col min="3" max="3" width="0.109375" style="76" customWidth="1"/>
    <col min="4" max="4" width="9.109375" style="76"/>
    <col min="5" max="5" width="9.109375" style="76" customWidth="1"/>
    <col min="6" max="6" width="6.5546875" style="76" bestFit="1" customWidth="1"/>
    <col min="7" max="7" width="4" style="76" customWidth="1"/>
    <col min="8" max="9" width="9.33203125" style="76" customWidth="1"/>
    <col min="10" max="10" width="9.33203125" style="76" bestFit="1" customWidth="1"/>
    <col min="11" max="11" width="7.6640625" style="76" customWidth="1"/>
    <col min="12" max="12" width="7.5546875" style="76" customWidth="1"/>
    <col min="13" max="13" width="6.33203125" style="76" customWidth="1"/>
    <col min="14" max="14" width="6" style="76" bestFit="1" customWidth="1"/>
    <col min="15" max="15" width="7.6640625" style="76" bestFit="1" customWidth="1"/>
    <col min="16" max="16" width="6.109375" style="76" bestFit="1" customWidth="1"/>
    <col min="17" max="17" width="5.6640625" style="76" bestFit="1" customWidth="1"/>
    <col min="18" max="18" width="9.88671875" style="76" hidden="1" customWidth="1"/>
    <col min="19" max="19" width="7.33203125" style="76" hidden="1" customWidth="1"/>
    <col min="20" max="20" width="9" style="76" hidden="1" customWidth="1"/>
    <col min="21" max="21" width="6" style="76" hidden="1" customWidth="1"/>
    <col min="22" max="22" width="5" style="76" hidden="1" customWidth="1"/>
    <col min="23" max="23" width="6.44140625" style="76" hidden="1" customWidth="1"/>
    <col min="24" max="24" width="8.88671875" style="76" hidden="1" customWidth="1"/>
    <col min="25" max="25" width="9.5546875" style="76" hidden="1" customWidth="1"/>
    <col min="26" max="26" width="9" style="76" hidden="1" customWidth="1"/>
    <col min="27" max="27" width="12.44140625" style="76" hidden="1" customWidth="1"/>
    <col min="28" max="28" width="7.6640625" style="76" hidden="1" customWidth="1"/>
    <col min="29" max="29" width="8.44140625" style="76" hidden="1" customWidth="1"/>
    <col min="30" max="16384" width="9.109375" style="76"/>
  </cols>
  <sheetData>
    <row r="1" spans="1:30" ht="15.6" x14ac:dyDescent="0.3">
      <c r="A1" s="112" t="s">
        <v>105</v>
      </c>
      <c r="B1" s="113"/>
      <c r="C1" s="113"/>
      <c r="D1" s="112"/>
      <c r="E1" s="113"/>
      <c r="F1" s="113"/>
      <c r="G1" s="95"/>
      <c r="H1" s="95"/>
      <c r="I1" s="102"/>
      <c r="J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  <c r="Y1" s="102"/>
      <c r="Z1" s="102"/>
      <c r="AA1" s="102"/>
    </row>
    <row r="2" spans="1:30" ht="15.6" x14ac:dyDescent="0.3">
      <c r="A2" s="112" t="s">
        <v>150</v>
      </c>
      <c r="B2" s="113"/>
      <c r="C2" s="113"/>
      <c r="D2" s="112"/>
      <c r="E2" s="113"/>
      <c r="F2" s="113"/>
      <c r="G2" s="95"/>
      <c r="H2" s="95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102"/>
      <c r="V2" s="102"/>
      <c r="W2" s="102"/>
      <c r="X2" s="102"/>
      <c r="Y2" s="102"/>
      <c r="Z2" s="102"/>
      <c r="AA2" s="102"/>
    </row>
    <row r="3" spans="1:30" hidden="1" x14ac:dyDescent="0.3">
      <c r="A3" s="94"/>
      <c r="B3" s="95"/>
      <c r="C3" s="95"/>
      <c r="D3" s="94"/>
      <c r="E3" s="95"/>
      <c r="F3" s="95"/>
      <c r="G3" s="95"/>
      <c r="H3" s="95"/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02"/>
      <c r="T3" s="102"/>
      <c r="U3" s="102"/>
      <c r="V3" s="102"/>
      <c r="W3" s="102"/>
      <c r="X3" s="102"/>
      <c r="Y3" s="102"/>
      <c r="Z3" s="102"/>
      <c r="AA3" s="102"/>
    </row>
    <row r="4" spans="1:30" hidden="1" x14ac:dyDescent="0.3">
      <c r="A4" s="94"/>
      <c r="B4" s="95"/>
      <c r="C4" s="95"/>
      <c r="D4" s="94"/>
      <c r="E4" s="95"/>
      <c r="F4" s="95"/>
      <c r="G4" s="95"/>
      <c r="H4" s="95"/>
      <c r="I4" s="102"/>
      <c r="J4" s="102"/>
      <c r="K4" s="102"/>
    </row>
    <row r="5" spans="1:30" x14ac:dyDescent="0.3">
      <c r="A5" s="94"/>
      <c r="B5" s="95"/>
      <c r="C5" s="95"/>
      <c r="D5" s="94"/>
      <c r="E5" s="95"/>
      <c r="F5" s="95"/>
      <c r="G5" s="95"/>
      <c r="H5" s="95"/>
      <c r="I5" s="102"/>
      <c r="J5" s="102"/>
      <c r="K5" s="102"/>
    </row>
    <row r="6" spans="1:30" x14ac:dyDescent="0.3">
      <c r="A6" s="101"/>
      <c r="B6" s="95"/>
      <c r="C6" s="95"/>
      <c r="D6" s="94"/>
      <c r="E6" s="95"/>
      <c r="F6" s="95"/>
      <c r="G6" s="95"/>
      <c r="H6" s="95"/>
      <c r="I6" s="95"/>
      <c r="J6" s="95"/>
      <c r="K6" s="102"/>
      <c r="L6" s="114" t="s">
        <v>112</v>
      </c>
      <c r="M6" s="114"/>
      <c r="N6" s="114"/>
      <c r="O6" s="114"/>
      <c r="P6" s="114"/>
      <c r="Q6" s="104"/>
    </row>
    <row r="7" spans="1:30" ht="99" customHeight="1" x14ac:dyDescent="0.3">
      <c r="A7" s="109" t="s">
        <v>5</v>
      </c>
      <c r="B7" s="109" t="s">
        <v>6</v>
      </c>
      <c r="C7" s="109" t="s">
        <v>7</v>
      </c>
      <c r="D7" s="109" t="s">
        <v>125</v>
      </c>
      <c r="E7" s="95" t="s">
        <v>13</v>
      </c>
      <c r="F7" s="95"/>
      <c r="G7" s="92" t="s">
        <v>9</v>
      </c>
      <c r="H7" s="109" t="s">
        <v>122</v>
      </c>
      <c r="I7" s="105" t="s">
        <v>123</v>
      </c>
      <c r="J7" s="105" t="s">
        <v>110</v>
      </c>
      <c r="K7" s="105" t="s">
        <v>111</v>
      </c>
      <c r="L7" s="106" t="s">
        <v>44</v>
      </c>
      <c r="M7" s="106" t="s">
        <v>42</v>
      </c>
      <c r="N7" s="106" t="s">
        <v>41</v>
      </c>
      <c r="O7" s="106" t="s">
        <v>63</v>
      </c>
      <c r="P7" s="106" t="s">
        <v>56</v>
      </c>
      <c r="Q7" s="106" t="s">
        <v>45</v>
      </c>
      <c r="R7" s="95"/>
      <c r="S7" s="95"/>
      <c r="T7" s="95"/>
      <c r="U7" s="95"/>
      <c r="V7" s="95"/>
      <c r="W7" s="95"/>
      <c r="X7" s="95"/>
      <c r="Y7" s="95"/>
      <c r="Z7" s="95"/>
      <c r="AA7" s="95"/>
      <c r="AD7" s="105"/>
    </row>
    <row r="8" spans="1:30" x14ac:dyDescent="0.3">
      <c r="A8" s="94" t="s">
        <v>14</v>
      </c>
      <c r="B8" s="95">
        <v>2</v>
      </c>
      <c r="C8" s="101"/>
      <c r="D8" s="94" t="s">
        <v>30</v>
      </c>
      <c r="E8" s="95"/>
      <c r="F8" s="95"/>
      <c r="G8" s="95"/>
      <c r="H8" s="95"/>
      <c r="I8" s="110"/>
      <c r="J8" s="103"/>
      <c r="K8" s="102"/>
      <c r="L8" s="104"/>
      <c r="M8" s="104"/>
      <c r="N8" s="104"/>
      <c r="O8" s="104"/>
      <c r="P8" s="104"/>
      <c r="Q8" s="104"/>
    </row>
    <row r="9" spans="1:30" x14ac:dyDescent="0.3">
      <c r="A9" s="94"/>
      <c r="B9" s="95"/>
      <c r="C9" s="95"/>
      <c r="D9" s="94" t="s">
        <v>31</v>
      </c>
      <c r="E9" s="94"/>
      <c r="F9" s="102">
        <v>0.4</v>
      </c>
      <c r="G9" s="95" t="s">
        <v>17</v>
      </c>
      <c r="H9" s="102">
        <f>I9+J9</f>
        <v>17.099920000000001</v>
      </c>
      <c r="I9" s="102">
        <f>F9*'2017 calcs '!E2</f>
        <v>16.132000000000001</v>
      </c>
      <c r="J9" s="102">
        <f>I9*0.06</f>
        <v>0.96792</v>
      </c>
      <c r="K9" s="102">
        <f>L9+M9+N9+P9+Q9</f>
        <v>13.029816400000001</v>
      </c>
      <c r="L9" s="111">
        <f>I9*0.6138</f>
        <v>9.9018216000000017</v>
      </c>
      <c r="M9" s="111">
        <f>I9*0.1379</f>
        <v>2.2246028</v>
      </c>
      <c r="N9" s="111">
        <f>I9*0.03</f>
        <v>0.48396</v>
      </c>
      <c r="O9" s="111" t="s">
        <v>113</v>
      </c>
      <c r="P9" s="111">
        <f>I9*0.0022</f>
        <v>3.5490400000000005E-2</v>
      </c>
      <c r="Q9" s="111">
        <f>I9*0.0238</f>
        <v>0.38394160000000005</v>
      </c>
      <c r="R9" s="107"/>
      <c r="S9" s="107"/>
      <c r="T9" s="107"/>
      <c r="U9" s="107"/>
      <c r="V9" s="107"/>
      <c r="W9" s="107"/>
      <c r="X9" s="107"/>
      <c r="Y9" s="107"/>
      <c r="Z9" s="107"/>
      <c r="AA9" s="107"/>
    </row>
    <row r="10" spans="1:30" x14ac:dyDescent="0.3">
      <c r="A10" s="94"/>
      <c r="B10" s="95"/>
      <c r="C10" s="95"/>
      <c r="D10" s="94" t="s">
        <v>32</v>
      </c>
      <c r="E10" s="95"/>
      <c r="F10" s="102">
        <v>0.5</v>
      </c>
      <c r="G10" s="95" t="s">
        <v>17</v>
      </c>
      <c r="H10" s="102">
        <f t="shared" ref="H10:H13" si="0">I10+J10</f>
        <v>22.790482999999998</v>
      </c>
      <c r="I10" s="102">
        <f>F10*'2017 calcs '!E2</f>
        <v>20.164999999999999</v>
      </c>
      <c r="J10" s="102">
        <f>I10*0.1302</f>
        <v>2.625483</v>
      </c>
      <c r="K10" s="102">
        <f t="shared" ref="K10:K13" si="1">L10+M10+N10+O10+P10+Q10</f>
        <v>16.382046000000003</v>
      </c>
      <c r="L10" s="111">
        <f>I10*0.4908</f>
        <v>9.8969819999999995</v>
      </c>
      <c r="M10" s="111">
        <f t="shared" ref="M10:M13" si="2">I10*0.1379</f>
        <v>2.7807534999999999</v>
      </c>
      <c r="N10" s="111">
        <f t="shared" ref="N10:N13" si="3">I10*0.03</f>
        <v>0.60494999999999999</v>
      </c>
      <c r="O10" s="111">
        <f>I10*0.1277</f>
        <v>2.5750705000000003</v>
      </c>
      <c r="P10" s="111">
        <f t="shared" ref="P10:P13" si="4">I10*0.0022</f>
        <v>4.4363E-2</v>
      </c>
      <c r="Q10" s="111">
        <f t="shared" ref="Q10:Q13" si="5">I10*0.0238</f>
        <v>0.47992699999999999</v>
      </c>
      <c r="R10" s="107"/>
      <c r="S10" s="107"/>
      <c r="T10" s="107"/>
      <c r="U10" s="107"/>
      <c r="V10" s="107"/>
      <c r="W10" s="107"/>
      <c r="X10" s="107"/>
      <c r="Y10" s="107"/>
      <c r="Z10" s="107"/>
      <c r="AA10" s="107"/>
    </row>
    <row r="11" spans="1:30" x14ac:dyDescent="0.3">
      <c r="A11" s="94"/>
      <c r="B11" s="95"/>
      <c r="C11" s="95"/>
      <c r="D11" s="94" t="s">
        <v>33</v>
      </c>
      <c r="E11" s="95"/>
      <c r="F11" s="102">
        <v>0.6</v>
      </c>
      <c r="G11" s="95" t="s">
        <v>17</v>
      </c>
      <c r="H11" s="102">
        <f t="shared" si="0"/>
        <v>27.348579599999997</v>
      </c>
      <c r="I11" s="102">
        <f>F11*'2017 calcs '!E2</f>
        <v>24.197999999999997</v>
      </c>
      <c r="J11" s="102">
        <f t="shared" ref="J11:J13" si="6">I11*0.1302</f>
        <v>3.1505795999999999</v>
      </c>
      <c r="K11" s="102">
        <f t="shared" si="1"/>
        <v>17.681478599999998</v>
      </c>
      <c r="L11" s="111">
        <f>I11*0.4091</f>
        <v>9.8994017999999997</v>
      </c>
      <c r="M11" s="111">
        <f t="shared" si="2"/>
        <v>3.3369041999999993</v>
      </c>
      <c r="N11" s="111">
        <f t="shared" si="3"/>
        <v>0.72593999999999992</v>
      </c>
      <c r="O11" s="111">
        <f t="shared" ref="O11:O13" si="7">I11*0.1277</f>
        <v>3.0900846</v>
      </c>
      <c r="P11" s="111">
        <f t="shared" si="4"/>
        <v>5.3235599999999994E-2</v>
      </c>
      <c r="Q11" s="111">
        <f t="shared" si="5"/>
        <v>0.57591239999999999</v>
      </c>
      <c r="R11" s="107"/>
      <c r="S11" s="107"/>
      <c r="T11" s="107"/>
      <c r="U11" s="107"/>
      <c r="V11" s="107"/>
      <c r="W11" s="107"/>
      <c r="X11" s="107"/>
      <c r="Y11" s="107"/>
      <c r="Z11" s="107"/>
      <c r="AA11" s="107"/>
    </row>
    <row r="12" spans="1:30" x14ac:dyDescent="0.3">
      <c r="D12" s="94" t="s">
        <v>60</v>
      </c>
      <c r="E12" s="95"/>
      <c r="F12" s="102">
        <v>0.7</v>
      </c>
      <c r="G12" s="95" t="s">
        <v>17</v>
      </c>
      <c r="H12" s="102">
        <f t="shared" si="0"/>
        <v>31.9066762</v>
      </c>
      <c r="I12" s="102">
        <f>F12*'2017 calcs '!E2</f>
        <v>28.230999999999998</v>
      </c>
      <c r="J12" s="102">
        <f t="shared" si="6"/>
        <v>3.6756761999999998</v>
      </c>
      <c r="K12" s="102">
        <f t="shared" si="1"/>
        <v>18.979701299999999</v>
      </c>
      <c r="L12" s="111">
        <f>I12*0.3507</f>
        <v>9.9006116999999989</v>
      </c>
      <c r="M12" s="111">
        <f t="shared" si="2"/>
        <v>3.8930548999999997</v>
      </c>
      <c r="N12" s="111">
        <f t="shared" si="3"/>
        <v>0.84692999999999996</v>
      </c>
      <c r="O12" s="111">
        <f t="shared" si="7"/>
        <v>3.6050987000000001</v>
      </c>
      <c r="P12" s="111">
        <f t="shared" si="4"/>
        <v>6.2108200000000002E-2</v>
      </c>
      <c r="Q12" s="111">
        <f t="shared" si="5"/>
        <v>0.67189779999999999</v>
      </c>
      <c r="R12" s="107"/>
      <c r="S12" s="107"/>
      <c r="T12" s="107"/>
      <c r="U12" s="107"/>
      <c r="V12" s="107"/>
      <c r="W12" s="107"/>
      <c r="X12" s="107"/>
      <c r="Y12" s="107"/>
      <c r="Z12" s="107"/>
      <c r="AA12" s="107"/>
    </row>
    <row r="13" spans="1:30" x14ac:dyDescent="0.3">
      <c r="D13" s="94" t="s">
        <v>35</v>
      </c>
      <c r="E13" s="95"/>
      <c r="F13" s="102">
        <v>0.83</v>
      </c>
      <c r="G13" s="95" t="s">
        <v>17</v>
      </c>
      <c r="H13" s="102">
        <f t="shared" si="0"/>
        <v>37.832201779999998</v>
      </c>
      <c r="I13" s="102">
        <f>F13*'2017 calcs '!E2</f>
        <v>33.4739</v>
      </c>
      <c r="J13" s="102">
        <f t="shared" si="6"/>
        <v>4.3583017800000006</v>
      </c>
      <c r="K13" s="102">
        <f t="shared" si="1"/>
        <v>20.666785860000005</v>
      </c>
      <c r="L13" s="111">
        <f>I13*0.2958</f>
        <v>9.9015796199999997</v>
      </c>
      <c r="M13" s="111">
        <f t="shared" si="2"/>
        <v>4.6160508099999999</v>
      </c>
      <c r="N13" s="111">
        <f t="shared" si="3"/>
        <v>1.0042169999999999</v>
      </c>
      <c r="O13" s="111">
        <f t="shared" si="7"/>
        <v>4.2746170299999999</v>
      </c>
      <c r="P13" s="111">
        <f t="shared" si="4"/>
        <v>7.3642579999999999E-2</v>
      </c>
      <c r="Q13" s="111">
        <f t="shared" si="5"/>
        <v>0.79667882000000012</v>
      </c>
      <c r="R13" s="107"/>
      <c r="S13" s="107"/>
      <c r="T13" s="107"/>
      <c r="U13" s="107"/>
      <c r="V13" s="107"/>
      <c r="W13" s="107"/>
      <c r="X13" s="107"/>
      <c r="Y13" s="107"/>
      <c r="Z13" s="107"/>
      <c r="AA13" s="107"/>
    </row>
    <row r="14" spans="1:30" x14ac:dyDescent="0.3">
      <c r="H14" s="102"/>
      <c r="J14" s="108"/>
      <c r="L14" s="111"/>
      <c r="M14" s="111"/>
      <c r="N14" s="111"/>
      <c r="O14" s="111"/>
      <c r="P14" s="111"/>
      <c r="Q14" s="111"/>
    </row>
    <row r="15" spans="1:30" x14ac:dyDescent="0.3">
      <c r="A15" s="91" t="s">
        <v>22</v>
      </c>
      <c r="B15" s="95"/>
      <c r="C15" s="95"/>
      <c r="D15" s="94"/>
      <c r="E15" s="95"/>
      <c r="F15" s="95"/>
      <c r="G15" s="95"/>
      <c r="H15" s="102"/>
      <c r="I15" s="102"/>
      <c r="J15" s="102"/>
      <c r="K15" s="95"/>
      <c r="L15" s="111"/>
      <c r="M15" s="111"/>
      <c r="N15" s="111"/>
      <c r="O15" s="111"/>
      <c r="P15" s="111"/>
      <c r="Q15" s="111"/>
    </row>
    <row r="16" spans="1:30" x14ac:dyDescent="0.3">
      <c r="D16" s="94" t="s">
        <v>31</v>
      </c>
      <c r="E16" s="94"/>
      <c r="F16" s="95"/>
      <c r="G16" s="95" t="s">
        <v>17</v>
      </c>
      <c r="H16" s="102">
        <f t="shared" ref="H16:H20" si="8">I16+J16</f>
        <v>25.64988</v>
      </c>
      <c r="I16" s="102">
        <f t="shared" ref="I16:J20" si="9">I9*1.5</f>
        <v>24.198</v>
      </c>
      <c r="J16" s="102">
        <f t="shared" si="9"/>
        <v>1.4518800000000001</v>
      </c>
      <c r="K16" s="102">
        <f>L16+M16+N16+P16+Q16</f>
        <v>14.593813800000001</v>
      </c>
      <c r="L16" s="111">
        <f>L9</f>
        <v>9.9018216000000017</v>
      </c>
      <c r="M16" s="111">
        <f t="shared" ref="M16:Q20" si="10">M9*1.5</f>
        <v>3.3369042000000002</v>
      </c>
      <c r="N16" s="111">
        <f t="shared" si="10"/>
        <v>0.72594000000000003</v>
      </c>
      <c r="O16" s="111" t="s">
        <v>113</v>
      </c>
      <c r="P16" s="111">
        <f t="shared" si="10"/>
        <v>5.3235600000000008E-2</v>
      </c>
      <c r="Q16" s="111">
        <f t="shared" si="10"/>
        <v>0.5759124000000001</v>
      </c>
    </row>
    <row r="17" spans="4:17" x14ac:dyDescent="0.3">
      <c r="D17" s="94" t="s">
        <v>32</v>
      </c>
      <c r="E17" s="95"/>
      <c r="F17" s="95"/>
      <c r="G17" s="95" t="s">
        <v>17</v>
      </c>
      <c r="H17" s="102">
        <f t="shared" si="8"/>
        <v>34.185724499999999</v>
      </c>
      <c r="I17" s="102">
        <f t="shared" si="9"/>
        <v>30.247499999999999</v>
      </c>
      <c r="J17" s="102">
        <f t="shared" si="9"/>
        <v>3.9382245</v>
      </c>
      <c r="K17" s="102">
        <f t="shared" ref="K17:K20" si="11">L17+M17+N17+O17+P17+Q17</f>
        <v>19.624578</v>
      </c>
      <c r="L17" s="111">
        <f t="shared" ref="L17:L20" si="12">L10</f>
        <v>9.8969819999999995</v>
      </c>
      <c r="M17" s="111">
        <f t="shared" si="10"/>
        <v>4.17113025</v>
      </c>
      <c r="N17" s="111">
        <f t="shared" si="10"/>
        <v>0.90742499999999993</v>
      </c>
      <c r="O17" s="111">
        <f t="shared" si="10"/>
        <v>3.8626057500000002</v>
      </c>
      <c r="P17" s="111">
        <f t="shared" si="10"/>
        <v>6.6544500000000006E-2</v>
      </c>
      <c r="Q17" s="111">
        <f t="shared" si="10"/>
        <v>0.71989049999999999</v>
      </c>
    </row>
    <row r="18" spans="4:17" x14ac:dyDescent="0.3">
      <c r="D18" s="94" t="s">
        <v>33</v>
      </c>
      <c r="E18" s="95"/>
      <c r="F18" s="95"/>
      <c r="G18" s="95" t="s">
        <v>17</v>
      </c>
      <c r="H18" s="102">
        <f t="shared" si="8"/>
        <v>41.022869399999998</v>
      </c>
      <c r="I18" s="102">
        <f t="shared" si="9"/>
        <v>36.296999999999997</v>
      </c>
      <c r="J18" s="102">
        <f t="shared" si="9"/>
        <v>4.7258693999999997</v>
      </c>
      <c r="K18" s="102">
        <f t="shared" si="11"/>
        <v>21.572516999999998</v>
      </c>
      <c r="L18" s="111">
        <f t="shared" si="12"/>
        <v>9.8994017999999997</v>
      </c>
      <c r="M18" s="111">
        <f t="shared" si="10"/>
        <v>5.005356299999999</v>
      </c>
      <c r="N18" s="111">
        <f t="shared" si="10"/>
        <v>1.0889099999999998</v>
      </c>
      <c r="O18" s="111">
        <f t="shared" si="10"/>
        <v>4.6351268999999995</v>
      </c>
      <c r="P18" s="111">
        <f t="shared" si="10"/>
        <v>7.9853399999999991E-2</v>
      </c>
      <c r="Q18" s="111">
        <f t="shared" si="10"/>
        <v>0.86386859999999999</v>
      </c>
    </row>
    <row r="19" spans="4:17" x14ac:dyDescent="0.3">
      <c r="D19" s="94" t="s">
        <v>60</v>
      </c>
      <c r="E19" s="95"/>
      <c r="F19" s="95"/>
      <c r="G19" s="95" t="s">
        <v>17</v>
      </c>
      <c r="H19" s="102">
        <f t="shared" si="8"/>
        <v>47.860014299999996</v>
      </c>
      <c r="I19" s="102">
        <f t="shared" si="9"/>
        <v>42.346499999999999</v>
      </c>
      <c r="J19" s="102">
        <f t="shared" si="9"/>
        <v>5.5135142999999998</v>
      </c>
      <c r="K19" s="102">
        <f t="shared" si="11"/>
        <v>23.519246099999997</v>
      </c>
      <c r="L19" s="111">
        <f t="shared" si="12"/>
        <v>9.9006116999999989</v>
      </c>
      <c r="M19" s="111">
        <f t="shared" si="10"/>
        <v>5.8395823499999997</v>
      </c>
      <c r="N19" s="111">
        <f t="shared" si="10"/>
        <v>1.2703949999999999</v>
      </c>
      <c r="O19" s="111">
        <f t="shared" si="10"/>
        <v>5.4076480500000006</v>
      </c>
      <c r="P19" s="111">
        <f t="shared" si="10"/>
        <v>9.3162300000000003E-2</v>
      </c>
      <c r="Q19" s="111">
        <f t="shared" si="10"/>
        <v>1.0078467</v>
      </c>
    </row>
    <row r="20" spans="4:17" x14ac:dyDescent="0.3">
      <c r="D20" s="94" t="s">
        <v>35</v>
      </c>
      <c r="E20" s="95"/>
      <c r="F20" s="95"/>
      <c r="G20" s="95" t="s">
        <v>17</v>
      </c>
      <c r="H20" s="102">
        <f t="shared" si="8"/>
        <v>56.748302670000001</v>
      </c>
      <c r="I20" s="102">
        <f t="shared" si="9"/>
        <v>50.210850000000001</v>
      </c>
      <c r="J20" s="102">
        <f t="shared" si="9"/>
        <v>6.5374526700000004</v>
      </c>
      <c r="K20" s="102">
        <f t="shared" si="11"/>
        <v>26.049388979999996</v>
      </c>
      <c r="L20" s="111">
        <f t="shared" si="12"/>
        <v>9.9015796199999997</v>
      </c>
      <c r="M20" s="111">
        <f t="shared" si="10"/>
        <v>6.9240762149999995</v>
      </c>
      <c r="N20" s="111">
        <f t="shared" si="10"/>
        <v>1.5063255</v>
      </c>
      <c r="O20" s="111">
        <f t="shared" si="10"/>
        <v>6.4119255449999999</v>
      </c>
      <c r="P20" s="111">
        <f t="shared" si="10"/>
        <v>0.11046386999999999</v>
      </c>
      <c r="Q20" s="111">
        <f t="shared" si="10"/>
        <v>1.1950182300000001</v>
      </c>
    </row>
    <row r="22" spans="4:17" x14ac:dyDescent="0.3">
      <c r="D22" s="80" t="s">
        <v>124</v>
      </c>
    </row>
    <row r="23" spans="4:17" x14ac:dyDescent="0.3">
      <c r="D23" s="94" t="s">
        <v>69</v>
      </c>
    </row>
    <row r="24" spans="4:17" x14ac:dyDescent="0.3">
      <c r="D24" s="95"/>
    </row>
    <row r="25" spans="4:17" x14ac:dyDescent="0.3">
      <c r="D25" s="91" t="s">
        <v>120</v>
      </c>
    </row>
    <row r="26" spans="4:17" x14ac:dyDescent="0.3">
      <c r="D26" s="94" t="s">
        <v>117</v>
      </c>
    </row>
    <row r="27" spans="4:17" x14ac:dyDescent="0.3">
      <c r="D27" s="94" t="s">
        <v>118</v>
      </c>
    </row>
    <row r="28" spans="4:17" ht="14.4" thickBot="1" x14ac:dyDescent="0.35">
      <c r="D28" s="94"/>
    </row>
    <row r="29" spans="4:17" x14ac:dyDescent="0.3">
      <c r="D29" s="116" t="s">
        <v>119</v>
      </c>
      <c r="E29" s="117"/>
      <c r="F29" s="117"/>
      <c r="G29" s="117"/>
      <c r="H29" s="117"/>
      <c r="I29" s="117"/>
      <c r="J29" s="117"/>
      <c r="K29" s="117"/>
      <c r="L29" s="117"/>
      <c r="M29" s="117"/>
      <c r="N29" s="118"/>
    </row>
    <row r="30" spans="4:17" x14ac:dyDescent="0.3">
      <c r="D30" s="119" t="s">
        <v>138</v>
      </c>
      <c r="N30" s="120"/>
    </row>
    <row r="31" spans="4:17" x14ac:dyDescent="0.3">
      <c r="D31" s="119" t="s">
        <v>151</v>
      </c>
      <c r="N31" s="120"/>
    </row>
    <row r="32" spans="4:17" x14ac:dyDescent="0.3">
      <c r="D32" s="119"/>
      <c r="N32" s="120"/>
    </row>
    <row r="33" spans="4:14" x14ac:dyDescent="0.3">
      <c r="D33" s="121" t="s">
        <v>147</v>
      </c>
      <c r="E33" s="80" t="s">
        <v>148</v>
      </c>
      <c r="F33" s="80"/>
      <c r="G33" s="80"/>
      <c r="H33" s="80" t="s">
        <v>149</v>
      </c>
      <c r="I33" s="80"/>
      <c r="N33" s="120"/>
    </row>
    <row r="34" spans="4:14" x14ac:dyDescent="0.3">
      <c r="D34" s="119" t="s">
        <v>139</v>
      </c>
      <c r="E34" s="76" t="s">
        <v>142</v>
      </c>
      <c r="H34" s="76" t="s">
        <v>145</v>
      </c>
      <c r="N34" s="120"/>
    </row>
    <row r="35" spans="4:14" x14ac:dyDescent="0.3">
      <c r="D35" s="119"/>
      <c r="N35" s="120"/>
    </row>
    <row r="36" spans="4:14" x14ac:dyDescent="0.3">
      <c r="D36" s="119" t="s">
        <v>140</v>
      </c>
      <c r="E36" s="115" t="s">
        <v>144</v>
      </c>
      <c r="H36" s="76" t="s">
        <v>146</v>
      </c>
      <c r="N36" s="120"/>
    </row>
    <row r="37" spans="4:14" x14ac:dyDescent="0.3">
      <c r="D37" s="119"/>
      <c r="N37" s="120"/>
    </row>
    <row r="38" spans="4:14" ht="14.4" thickBot="1" x14ac:dyDescent="0.35">
      <c r="D38" s="122" t="s">
        <v>141</v>
      </c>
      <c r="E38" s="123" t="s">
        <v>143</v>
      </c>
      <c r="F38" s="124"/>
      <c r="G38" s="124"/>
      <c r="H38" s="124" t="s">
        <v>152</v>
      </c>
      <c r="I38" s="124"/>
      <c r="J38" s="124"/>
      <c r="K38" s="124"/>
      <c r="L38" s="124"/>
      <c r="M38" s="124"/>
      <c r="N38" s="125"/>
    </row>
    <row r="39" spans="4:14" x14ac:dyDescent="0.3">
      <c r="D39" s="94"/>
      <c r="E39" s="115"/>
    </row>
    <row r="40" spans="4:14" x14ac:dyDescent="0.3">
      <c r="D40" s="93" t="s">
        <v>65</v>
      </c>
    </row>
    <row r="41" spans="4:14" x14ac:dyDescent="0.3">
      <c r="D41" s="94" t="s">
        <v>126</v>
      </c>
      <c r="E41" s="94"/>
      <c r="F41" s="94"/>
      <c r="G41" s="94"/>
      <c r="H41" s="94"/>
    </row>
    <row r="42" spans="4:14" x14ac:dyDescent="0.3">
      <c r="D42" s="94" t="s">
        <v>127</v>
      </c>
      <c r="E42" s="94"/>
      <c r="F42" s="94"/>
      <c r="G42" s="94"/>
      <c r="H42" s="94"/>
    </row>
    <row r="43" spans="4:14" x14ac:dyDescent="0.3">
      <c r="D43" s="94" t="s">
        <v>128</v>
      </c>
      <c r="E43" s="94"/>
      <c r="F43" s="94"/>
      <c r="G43" s="94"/>
      <c r="H43" s="94"/>
    </row>
    <row r="44" spans="4:14" x14ac:dyDescent="0.3">
      <c r="D44" s="94" t="s">
        <v>130</v>
      </c>
    </row>
    <row r="45" spans="4:14" x14ac:dyDescent="0.3">
      <c r="D45" s="94" t="s">
        <v>129</v>
      </c>
    </row>
    <row r="46" spans="4:14" x14ac:dyDescent="0.3">
      <c r="D46" s="94"/>
    </row>
    <row r="47" spans="4:14" x14ac:dyDescent="0.3">
      <c r="D47" s="91" t="s">
        <v>116</v>
      </c>
    </row>
    <row r="48" spans="4:14" x14ac:dyDescent="0.3">
      <c r="D48" s="94" t="s">
        <v>107</v>
      </c>
    </row>
    <row r="49" spans="4:4" x14ac:dyDescent="0.3">
      <c r="D49" s="76" t="s">
        <v>108</v>
      </c>
    </row>
  </sheetData>
  <sheetProtection selectLockedCells="1" selectUnlockedCells="1"/>
  <pageMargins left="0.75" right="0.75" top="1" bottom="1" header="0.5" footer="0.5"/>
  <pageSetup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C1:H22"/>
  <sheetViews>
    <sheetView workbookViewId="0">
      <selection activeCell="E13" sqref="E13"/>
    </sheetView>
  </sheetViews>
  <sheetFormatPr defaultColWidth="9.109375" defaultRowHeight="13.2" x14ac:dyDescent="0.25"/>
  <cols>
    <col min="3" max="3" width="24.5546875" customWidth="1"/>
    <col min="4" max="4" width="5.5546875" bestFit="1" customWidth="1"/>
    <col min="5" max="5" width="11" bestFit="1" customWidth="1"/>
    <col min="6" max="6" width="13.33203125" bestFit="1" customWidth="1"/>
    <col min="7" max="7" width="8.33203125" bestFit="1" customWidth="1"/>
    <col min="8" max="8" width="9.88671875" bestFit="1" customWidth="1"/>
  </cols>
  <sheetData>
    <row r="1" spans="3:8" x14ac:dyDescent="0.25">
      <c r="E1" t="s">
        <v>47</v>
      </c>
      <c r="F1" t="s">
        <v>100</v>
      </c>
      <c r="G1" t="s">
        <v>48</v>
      </c>
      <c r="H1" t="s">
        <v>49</v>
      </c>
    </row>
    <row r="2" spans="3:8" x14ac:dyDescent="0.25">
      <c r="C2">
        <v>2019</v>
      </c>
      <c r="D2" t="s">
        <v>46</v>
      </c>
      <c r="E2" s="173">
        <v>47.94</v>
      </c>
      <c r="F2" s="173">
        <v>48.94</v>
      </c>
      <c r="G2" s="174">
        <v>51.06</v>
      </c>
      <c r="H2" s="174">
        <v>52.73</v>
      </c>
    </row>
    <row r="4" spans="3:8" x14ac:dyDescent="0.25">
      <c r="C4" t="s">
        <v>41</v>
      </c>
      <c r="D4" s="172">
        <v>3</v>
      </c>
      <c r="E4" s="175">
        <f>ROUND($E$2*(D4/100),2)</f>
        <v>1.44</v>
      </c>
      <c r="F4" s="175">
        <f>ROUND($F$2*(D4/100),2)</f>
        <v>1.47</v>
      </c>
      <c r="G4" s="175">
        <f>ROUND($G$2*(D4/100),2)</f>
        <v>1.53</v>
      </c>
      <c r="H4" s="175">
        <f>ROUND($H$2*(D4/100),2)</f>
        <v>1.58</v>
      </c>
    </row>
    <row r="5" spans="3:8" x14ac:dyDescent="0.25">
      <c r="C5" t="s">
        <v>42</v>
      </c>
      <c r="D5" s="172">
        <v>11.99</v>
      </c>
      <c r="E5" s="175">
        <f t="shared" ref="E5:E10" si="0">ROUND($E$2*(D5/100),2)</f>
        <v>5.75</v>
      </c>
      <c r="F5" s="175">
        <f t="shared" ref="F5:F13" si="1">ROUND($F$2*(D5/100),2)</f>
        <v>5.87</v>
      </c>
      <c r="G5" s="175">
        <f>ROUND($G$2*(D5/100),2)</f>
        <v>6.12</v>
      </c>
      <c r="H5" s="175">
        <f t="shared" ref="H5:H10" si="2">ROUND($H$2*(D5/100),2)</f>
        <v>6.32</v>
      </c>
    </row>
    <row r="6" spans="3:8" x14ac:dyDescent="0.25">
      <c r="C6" s="25" t="s">
        <v>165</v>
      </c>
      <c r="D6" s="172">
        <v>12.16</v>
      </c>
      <c r="E6" s="175">
        <f t="shared" si="0"/>
        <v>5.83</v>
      </c>
      <c r="F6" s="175">
        <f t="shared" si="1"/>
        <v>5.95</v>
      </c>
      <c r="G6" s="175">
        <f>ROUND($G$2*(D6/100),2)</f>
        <v>6.21</v>
      </c>
      <c r="H6" s="175">
        <f t="shared" si="2"/>
        <v>6.41</v>
      </c>
    </row>
    <row r="7" spans="3:8" x14ac:dyDescent="0.25">
      <c r="C7" t="s">
        <v>170</v>
      </c>
      <c r="D7" s="172">
        <v>24.61</v>
      </c>
      <c r="E7" s="175">
        <f t="shared" si="0"/>
        <v>11.8</v>
      </c>
      <c r="F7" s="175">
        <f t="shared" si="1"/>
        <v>12.04</v>
      </c>
      <c r="G7" s="175">
        <f t="shared" ref="G7:G10" si="3">ROUND($G$2*(D7/100),2)</f>
        <v>12.57</v>
      </c>
      <c r="H7" s="175">
        <f t="shared" si="2"/>
        <v>12.98</v>
      </c>
    </row>
    <row r="8" spans="3:8" x14ac:dyDescent="0.25">
      <c r="C8" t="s">
        <v>45</v>
      </c>
      <c r="D8" s="172">
        <v>2.3199999999999998</v>
      </c>
      <c r="E8" s="175">
        <f t="shared" si="0"/>
        <v>1.1100000000000001</v>
      </c>
      <c r="F8" s="175">
        <f t="shared" si="1"/>
        <v>1.1399999999999999</v>
      </c>
      <c r="G8" s="175">
        <f t="shared" si="3"/>
        <v>1.18</v>
      </c>
      <c r="H8" s="175">
        <f t="shared" si="2"/>
        <v>1.22</v>
      </c>
    </row>
    <row r="9" spans="3:8" x14ac:dyDescent="0.25">
      <c r="C9" t="s">
        <v>56</v>
      </c>
      <c r="D9" s="172">
        <v>0.19</v>
      </c>
      <c r="E9" s="175">
        <f t="shared" si="0"/>
        <v>0.09</v>
      </c>
      <c r="F9" s="175">
        <f t="shared" si="1"/>
        <v>0.09</v>
      </c>
      <c r="G9" s="175">
        <f t="shared" si="3"/>
        <v>0.1</v>
      </c>
      <c r="H9" s="175">
        <f t="shared" si="2"/>
        <v>0.1</v>
      </c>
    </row>
    <row r="10" spans="3:8" x14ac:dyDescent="0.25">
      <c r="C10" t="s">
        <v>164</v>
      </c>
      <c r="D10" s="172">
        <v>0.02</v>
      </c>
      <c r="E10" s="175">
        <f t="shared" si="0"/>
        <v>0.01</v>
      </c>
      <c r="F10" s="175">
        <f t="shared" si="1"/>
        <v>0.01</v>
      </c>
      <c r="G10" s="175">
        <f t="shared" si="3"/>
        <v>0.01</v>
      </c>
      <c r="H10" s="175">
        <f t="shared" si="2"/>
        <v>0.01</v>
      </c>
    </row>
    <row r="11" spans="3:8" x14ac:dyDescent="0.25">
      <c r="C11" t="s">
        <v>50</v>
      </c>
      <c r="D11" s="181"/>
      <c r="E11" s="175">
        <f>SUM(E4:E10)</f>
        <v>26.03</v>
      </c>
      <c r="F11" s="175">
        <f t="shared" ref="F11:H11" si="4">SUM(F4:F10)</f>
        <v>26.57</v>
      </c>
      <c r="G11" s="175">
        <f t="shared" si="4"/>
        <v>27.720000000000002</v>
      </c>
      <c r="H11" s="175">
        <f t="shared" si="4"/>
        <v>28.62</v>
      </c>
    </row>
    <row r="12" spans="3:8" x14ac:dyDescent="0.25">
      <c r="D12" s="182"/>
      <c r="E12" s="22"/>
      <c r="F12" s="22"/>
      <c r="G12" s="22"/>
      <c r="H12" s="22"/>
    </row>
    <row r="13" spans="3:8" x14ac:dyDescent="0.25">
      <c r="C13" s="25" t="s">
        <v>167</v>
      </c>
      <c r="D13" s="172">
        <v>12.16</v>
      </c>
      <c r="E13" s="175">
        <f>ROUND($E$2*($D13/100),2)</f>
        <v>5.83</v>
      </c>
      <c r="F13" s="175">
        <f t="shared" si="1"/>
        <v>5.95</v>
      </c>
      <c r="G13" s="175">
        <f>$G$2*(D13/100)</f>
        <v>6.2088960000000002</v>
      </c>
      <c r="H13" s="175">
        <f>$H$2*(D13/100)</f>
        <v>6.4119679999999999</v>
      </c>
    </row>
    <row r="14" spans="3:8" x14ac:dyDescent="0.25">
      <c r="C14" s="25" t="s">
        <v>171</v>
      </c>
      <c r="D14" s="180"/>
      <c r="E14" s="175">
        <f>ROUND(E11+E13,2)</f>
        <v>31.86</v>
      </c>
      <c r="F14" s="175">
        <f>ROUND(F11+F13,2)</f>
        <v>32.520000000000003</v>
      </c>
      <c r="G14" s="175">
        <f>G11+G13</f>
        <v>33.928896000000002</v>
      </c>
      <c r="H14" s="175">
        <f>H11+H13</f>
        <v>35.031967999999999</v>
      </c>
    </row>
    <row r="15" spans="3:8" x14ac:dyDescent="0.25">
      <c r="C15" s="25" t="s">
        <v>172</v>
      </c>
      <c r="E15" s="175">
        <f>E2+E14</f>
        <v>79.8</v>
      </c>
      <c r="F15" s="175">
        <f t="shared" ref="F15:H15" si="5">F2+F14</f>
        <v>81.460000000000008</v>
      </c>
      <c r="G15" s="175">
        <f t="shared" si="5"/>
        <v>84.988896000000011</v>
      </c>
      <c r="H15" s="175">
        <f t="shared" si="5"/>
        <v>87.761967999999996</v>
      </c>
    </row>
    <row r="16" spans="3:8" x14ac:dyDescent="0.25">
      <c r="C16" t="s">
        <v>57</v>
      </c>
    </row>
    <row r="18" spans="3:4" x14ac:dyDescent="0.25">
      <c r="D18" s="21">
        <f>SUM(D4:D10)</f>
        <v>54.29</v>
      </c>
    </row>
    <row r="22" spans="3:4" x14ac:dyDescent="0.25">
      <c r="C22" s="25"/>
    </row>
  </sheetData>
  <pageMargins left="0.75" right="0.75" top="1" bottom="1" header="0.5" footer="0.5"/>
  <pageSetup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105D53-6350-4B6C-A704-0C1BA80A3F22}">
  <dimension ref="A1:V46"/>
  <sheetViews>
    <sheetView showGridLines="0" workbookViewId="0">
      <selection activeCell="T7" sqref="T7"/>
    </sheetView>
  </sheetViews>
  <sheetFormatPr defaultColWidth="9.109375" defaultRowHeight="13.8" x14ac:dyDescent="0.3"/>
  <cols>
    <col min="1" max="3" width="9.109375" style="131"/>
    <col min="4" max="4" width="31.109375" style="131" customWidth="1"/>
    <col min="5" max="5" width="2.5546875" style="131" bestFit="1" customWidth="1"/>
    <col min="6" max="11" width="8.6640625" style="131" customWidth="1"/>
    <col min="12" max="12" width="9.88671875" style="131" customWidth="1"/>
    <col min="13" max="13" width="10.44140625" style="131" customWidth="1"/>
    <col min="14" max="14" width="2.109375" style="131" customWidth="1"/>
    <col min="15" max="15" width="14" style="131" customWidth="1"/>
    <col min="16" max="16" width="13.109375" style="131" customWidth="1"/>
    <col min="17" max="17" width="9.109375" style="131"/>
    <col min="18" max="18" width="15.33203125" style="131" customWidth="1"/>
    <col min="19" max="16384" width="9.109375" style="131"/>
  </cols>
  <sheetData>
    <row r="1" spans="1:22" ht="15.6" x14ac:dyDescent="0.3">
      <c r="A1" s="126" t="s">
        <v>166</v>
      </c>
      <c r="B1" s="136"/>
      <c r="C1" s="136"/>
      <c r="D1" s="140"/>
      <c r="E1" s="136"/>
      <c r="F1" s="136"/>
      <c r="G1" s="161"/>
      <c r="H1" s="161"/>
      <c r="I1" s="161"/>
      <c r="J1" s="161"/>
      <c r="K1" s="161"/>
      <c r="L1" s="161"/>
      <c r="M1" s="161"/>
      <c r="P1" s="142"/>
      <c r="Q1" s="142"/>
    </row>
    <row r="2" spans="1:22" x14ac:dyDescent="0.3">
      <c r="A2" s="140"/>
      <c r="B2" s="136"/>
      <c r="C2" s="136"/>
      <c r="D2" s="140"/>
      <c r="E2" s="136"/>
      <c r="F2" s="136"/>
      <c r="G2" s="161"/>
      <c r="H2" s="161"/>
      <c r="I2" s="161"/>
      <c r="J2" s="161"/>
      <c r="K2" s="161"/>
      <c r="L2" s="161"/>
      <c r="M2" s="161"/>
      <c r="O2" s="162" t="s">
        <v>62</v>
      </c>
      <c r="P2" s="162" t="s">
        <v>42</v>
      </c>
      <c r="Q2" s="162" t="s">
        <v>41</v>
      </c>
      <c r="R2" s="162" t="s">
        <v>63</v>
      </c>
      <c r="S2" s="162" t="s">
        <v>56</v>
      </c>
      <c r="T2" s="162" t="s">
        <v>164</v>
      </c>
      <c r="U2" s="162" t="s">
        <v>45</v>
      </c>
    </row>
    <row r="3" spans="1:22" ht="41.4" x14ac:dyDescent="0.3">
      <c r="A3" s="140"/>
      <c r="B3" s="136"/>
      <c r="C3" s="136"/>
      <c r="D3" s="140"/>
      <c r="E3" s="136"/>
      <c r="F3" s="163" t="s">
        <v>115</v>
      </c>
      <c r="G3" s="136" t="s">
        <v>2</v>
      </c>
      <c r="H3" s="136" t="s">
        <v>3</v>
      </c>
      <c r="I3" s="163" t="s">
        <v>136</v>
      </c>
      <c r="J3" s="161" t="s">
        <v>135</v>
      </c>
      <c r="K3" s="161" t="s">
        <v>135</v>
      </c>
      <c r="L3" s="161"/>
      <c r="M3" s="161"/>
      <c r="O3" s="176">
        <f>'2021 calcs '!D7/100</f>
        <v>0.24609999999999999</v>
      </c>
      <c r="P3" s="176">
        <f>'2021 calcs '!D5/100</f>
        <v>0.11990000000000001</v>
      </c>
      <c r="Q3" s="177">
        <f>'2021 calcs '!D4/100</f>
        <v>0.03</v>
      </c>
      <c r="R3" s="177">
        <f>'2021 calcs '!D6/100</f>
        <v>0.1216</v>
      </c>
      <c r="S3" s="177">
        <f>'2021 calcs '!D9/100</f>
        <v>1.9E-3</v>
      </c>
      <c r="T3" s="179">
        <f>'2021 calcs '!D10</f>
        <v>0.02</v>
      </c>
      <c r="U3" s="177">
        <f>'2021 calcs '!D8/100</f>
        <v>2.3199999999999998E-2</v>
      </c>
    </row>
    <row r="4" spans="1:22" x14ac:dyDescent="0.3">
      <c r="A4" s="195" t="s">
        <v>5</v>
      </c>
      <c r="B4" s="193" t="s">
        <v>6</v>
      </c>
      <c r="C4" s="193" t="s">
        <v>7</v>
      </c>
      <c r="D4" s="195" t="s">
        <v>125</v>
      </c>
      <c r="E4" s="193" t="s">
        <v>9</v>
      </c>
      <c r="F4" s="193" t="s">
        <v>114</v>
      </c>
      <c r="G4" s="193" t="s">
        <v>178</v>
      </c>
      <c r="H4" s="193" t="s">
        <v>11</v>
      </c>
      <c r="I4" s="196" t="s">
        <v>12</v>
      </c>
      <c r="J4" s="196" t="s">
        <v>4</v>
      </c>
      <c r="K4" s="196" t="s">
        <v>134</v>
      </c>
      <c r="L4" s="196" t="s">
        <v>154</v>
      </c>
      <c r="M4" s="196" t="s">
        <v>141</v>
      </c>
    </row>
    <row r="5" spans="1:22" ht="4.95" customHeight="1" x14ac:dyDescent="0.3">
      <c r="A5" s="165"/>
      <c r="B5" s="129"/>
      <c r="C5" s="138"/>
      <c r="D5" s="165"/>
      <c r="E5" s="129"/>
      <c r="F5" s="129"/>
      <c r="G5" s="138"/>
      <c r="H5" s="138"/>
      <c r="I5" s="138"/>
      <c r="J5" s="138" t="s">
        <v>13</v>
      </c>
      <c r="K5" s="138" t="s">
        <v>13</v>
      </c>
      <c r="L5" s="138"/>
      <c r="M5" s="138"/>
    </row>
    <row r="6" spans="1:22" x14ac:dyDescent="0.3">
      <c r="A6" s="132" t="s">
        <v>14</v>
      </c>
      <c r="B6" s="129">
        <v>2</v>
      </c>
      <c r="C6" s="129" t="s">
        <v>15</v>
      </c>
      <c r="D6" s="132" t="s">
        <v>16</v>
      </c>
      <c r="E6" s="129" t="s">
        <v>17</v>
      </c>
      <c r="F6" s="186">
        <f>G6+H6</f>
        <v>53.769999999999996</v>
      </c>
      <c r="G6" s="186">
        <f>'2021 calcs '!E2</f>
        <v>47.94</v>
      </c>
      <c r="H6" s="186">
        <f>'2021 calcs '!E13</f>
        <v>5.83</v>
      </c>
      <c r="I6" s="186">
        <f>'2021 calcs '!E11</f>
        <v>26.03</v>
      </c>
      <c r="J6" s="186">
        <f>I6+H6</f>
        <v>31.86</v>
      </c>
      <c r="K6" s="186">
        <f>J6+G6</f>
        <v>79.8</v>
      </c>
      <c r="L6" s="186">
        <f>G6*0.1</f>
        <v>4.7939999999999996</v>
      </c>
      <c r="M6" s="186">
        <f>G6*0.15</f>
        <v>7.1909999999999998</v>
      </c>
      <c r="N6" s="166"/>
      <c r="O6" s="178">
        <f>O3*$G$6</f>
        <v>11.798033999999999</v>
      </c>
      <c r="P6" s="178">
        <f t="shared" ref="P6:U6" si="0">P3*$G$6</f>
        <v>5.7480060000000002</v>
      </c>
      <c r="Q6" s="178">
        <f t="shared" si="0"/>
        <v>1.4381999999999999</v>
      </c>
      <c r="R6" s="178">
        <f t="shared" si="0"/>
        <v>5.829504</v>
      </c>
      <c r="S6" s="178">
        <f>S3*$G$6</f>
        <v>9.1086E-2</v>
      </c>
      <c r="T6" s="178">
        <f>T3*$G$6</f>
        <v>0.95879999999999999</v>
      </c>
      <c r="U6" s="178">
        <f t="shared" si="0"/>
        <v>1.1122079999999999</v>
      </c>
      <c r="V6" s="167"/>
    </row>
    <row r="7" spans="1:22" x14ac:dyDescent="0.3">
      <c r="A7" s="132" t="s">
        <v>14</v>
      </c>
      <c r="B7" s="129">
        <v>2</v>
      </c>
      <c r="C7" s="129" t="s">
        <v>18</v>
      </c>
      <c r="D7" s="132" t="s">
        <v>19</v>
      </c>
      <c r="E7" s="129" t="s">
        <v>17</v>
      </c>
      <c r="F7" s="186">
        <f t="shared" ref="F7:F9" si="1">G7+H7</f>
        <v>57.268896000000005</v>
      </c>
      <c r="G7" s="186">
        <f>'2021 calcs '!G2</f>
        <v>51.06</v>
      </c>
      <c r="H7" s="186">
        <f>'2021 calcs '!G13</f>
        <v>6.2088960000000002</v>
      </c>
      <c r="I7" s="186">
        <f>'2021 calcs '!G11</f>
        <v>27.720000000000002</v>
      </c>
      <c r="J7" s="186">
        <f>I7+H7</f>
        <v>33.928896000000002</v>
      </c>
      <c r="K7" s="186">
        <f>J7+G7</f>
        <v>84.988896000000011</v>
      </c>
      <c r="L7" s="186">
        <f t="shared" ref="L7:L9" si="2">G7*0.1</f>
        <v>5.1060000000000008</v>
      </c>
      <c r="M7" s="186">
        <f t="shared" ref="M7:M9" si="3">G7*0.15</f>
        <v>7.6589999999999998</v>
      </c>
      <c r="O7" s="178">
        <f>O3*$G$7</f>
        <v>12.565866</v>
      </c>
      <c r="P7" s="178">
        <f t="shared" ref="P7:U7" si="4">P3*$G$7</f>
        <v>6.1220940000000006</v>
      </c>
      <c r="Q7" s="178">
        <f t="shared" si="4"/>
        <v>1.5318000000000001</v>
      </c>
      <c r="R7" s="178">
        <f t="shared" si="4"/>
        <v>6.2088960000000002</v>
      </c>
      <c r="S7" s="178">
        <f t="shared" si="4"/>
        <v>9.7014000000000003E-2</v>
      </c>
      <c r="T7" s="178">
        <f t="shared" ref="T7" si="5">T3*$G$7</f>
        <v>1.0212000000000001</v>
      </c>
      <c r="U7" s="178">
        <f t="shared" si="4"/>
        <v>1.1845919999999999</v>
      </c>
      <c r="V7" s="167"/>
    </row>
    <row r="8" spans="1:22" x14ac:dyDescent="0.3">
      <c r="A8" s="132" t="s">
        <v>14</v>
      </c>
      <c r="B8" s="129">
        <v>2</v>
      </c>
      <c r="C8" s="129" t="s">
        <v>20</v>
      </c>
      <c r="D8" s="132" t="s">
        <v>21</v>
      </c>
      <c r="E8" s="129" t="s">
        <v>17</v>
      </c>
      <c r="F8" s="186">
        <f t="shared" si="1"/>
        <v>59.141967999999999</v>
      </c>
      <c r="G8" s="186">
        <f>'2021 calcs '!H2</f>
        <v>52.73</v>
      </c>
      <c r="H8" s="186">
        <f>'2021 calcs '!H13</f>
        <v>6.4119679999999999</v>
      </c>
      <c r="I8" s="186">
        <f>'2021 calcs '!H11</f>
        <v>28.62</v>
      </c>
      <c r="J8" s="186">
        <f>I8+H8</f>
        <v>35.031967999999999</v>
      </c>
      <c r="K8" s="186">
        <f>J8+G8</f>
        <v>87.761967999999996</v>
      </c>
      <c r="L8" s="186">
        <f t="shared" si="2"/>
        <v>5.2729999999999997</v>
      </c>
      <c r="M8" s="186">
        <f t="shared" si="3"/>
        <v>7.9094999999999995</v>
      </c>
      <c r="O8" s="178">
        <f>O3*$G$8</f>
        <v>12.976852999999998</v>
      </c>
      <c r="P8" s="178">
        <f t="shared" ref="P8:U8" si="6">P3*$G$8</f>
        <v>6.3223269999999996</v>
      </c>
      <c r="Q8" s="178">
        <f t="shared" si="6"/>
        <v>1.5818999999999999</v>
      </c>
      <c r="R8" s="178">
        <f t="shared" si="6"/>
        <v>6.4119679999999999</v>
      </c>
      <c r="S8" s="178">
        <f t="shared" si="6"/>
        <v>0.100187</v>
      </c>
      <c r="T8" s="178">
        <f t="shared" ref="T8" si="7">T3*$G$8</f>
        <v>1.0546</v>
      </c>
      <c r="U8" s="178">
        <f t="shared" si="6"/>
        <v>1.2233359999999998</v>
      </c>
      <c r="V8" s="167"/>
    </row>
    <row r="9" spans="1:22" x14ac:dyDescent="0.3">
      <c r="A9" s="132" t="s">
        <v>14</v>
      </c>
      <c r="B9" s="129">
        <v>2</v>
      </c>
      <c r="C9" s="129" t="s">
        <v>104</v>
      </c>
      <c r="D9" s="132" t="s">
        <v>101</v>
      </c>
      <c r="E9" s="129" t="s">
        <v>17</v>
      </c>
      <c r="F9" s="186">
        <f t="shared" si="1"/>
        <v>54.89</v>
      </c>
      <c r="G9" s="186">
        <f>'2021 calcs '!F2</f>
        <v>48.94</v>
      </c>
      <c r="H9" s="186">
        <f>'2021 calcs '!F13</f>
        <v>5.95</v>
      </c>
      <c r="I9" s="186">
        <f>'2021 calcs '!F11</f>
        <v>26.57</v>
      </c>
      <c r="J9" s="186">
        <f>I9+H9</f>
        <v>32.520000000000003</v>
      </c>
      <c r="K9" s="186">
        <f>J9+G9</f>
        <v>81.460000000000008</v>
      </c>
      <c r="L9" s="186">
        <f t="shared" si="2"/>
        <v>4.8940000000000001</v>
      </c>
      <c r="M9" s="186">
        <f t="shared" si="3"/>
        <v>7.3409999999999993</v>
      </c>
      <c r="O9" s="178">
        <f>O3*$G$9</f>
        <v>12.044133999999998</v>
      </c>
      <c r="P9" s="178">
        <f t="shared" ref="P9:U9" si="8">P3*$G$9</f>
        <v>5.8679059999999996</v>
      </c>
      <c r="Q9" s="178">
        <f t="shared" si="8"/>
        <v>1.4681999999999999</v>
      </c>
      <c r="R9" s="178">
        <f t="shared" si="8"/>
        <v>5.9511039999999999</v>
      </c>
      <c r="S9" s="178">
        <f t="shared" si="8"/>
        <v>9.2985999999999999E-2</v>
      </c>
      <c r="T9" s="178">
        <f t="shared" ref="T9" si="9">T3*$G$9</f>
        <v>0.9788</v>
      </c>
      <c r="U9" s="178">
        <f t="shared" si="8"/>
        <v>1.135408</v>
      </c>
      <c r="V9" s="167"/>
    </row>
    <row r="10" spans="1:22" ht="4.95" customHeight="1" x14ac:dyDescent="0.3">
      <c r="A10" s="132"/>
      <c r="B10" s="129"/>
      <c r="C10" s="129"/>
      <c r="D10" s="132"/>
      <c r="E10" s="129"/>
      <c r="F10" s="188"/>
      <c r="G10" s="188"/>
      <c r="H10" s="188"/>
      <c r="I10" s="188"/>
      <c r="J10" s="188"/>
      <c r="K10" s="188"/>
      <c r="L10" s="188"/>
      <c r="M10" s="188"/>
      <c r="O10" s="167"/>
      <c r="P10" s="167"/>
      <c r="Q10" s="167"/>
      <c r="R10" s="167"/>
      <c r="S10" s="167"/>
      <c r="T10" s="167"/>
      <c r="U10" s="167"/>
      <c r="V10" s="167"/>
    </row>
    <row r="11" spans="1:22" ht="6.6" customHeight="1" x14ac:dyDescent="0.3">
      <c r="A11" s="132"/>
      <c r="B11" s="129"/>
      <c r="C11" s="129"/>
      <c r="D11" s="132"/>
      <c r="E11" s="129"/>
      <c r="F11" s="188"/>
      <c r="G11" s="188"/>
      <c r="H11" s="188"/>
      <c r="I11" s="188"/>
      <c r="J11" s="188"/>
      <c r="K11" s="188"/>
      <c r="L11" s="188"/>
      <c r="M11" s="188"/>
    </row>
    <row r="12" spans="1:22" x14ac:dyDescent="0.3">
      <c r="A12" s="134"/>
      <c r="B12" s="140" t="s">
        <v>22</v>
      </c>
      <c r="C12" s="136"/>
      <c r="D12" s="132"/>
      <c r="E12" s="129"/>
      <c r="F12" s="188"/>
      <c r="G12" s="188"/>
      <c r="H12" s="188"/>
      <c r="I12" s="188"/>
      <c r="J12" s="188"/>
      <c r="K12" s="188"/>
      <c r="L12" s="188"/>
      <c r="M12" s="188"/>
      <c r="O12" s="131" t="s">
        <v>109</v>
      </c>
    </row>
    <row r="13" spans="1:22" x14ac:dyDescent="0.3">
      <c r="A13" s="132" t="s">
        <v>14</v>
      </c>
      <c r="B13" s="129">
        <v>2</v>
      </c>
      <c r="C13" s="129" t="s">
        <v>15</v>
      </c>
      <c r="D13" s="132" t="s">
        <v>16</v>
      </c>
      <c r="E13" s="129" t="s">
        <v>17</v>
      </c>
      <c r="F13" s="186">
        <f t="shared" ref="F13:H16" si="10">F6*1.5</f>
        <v>80.655000000000001</v>
      </c>
      <c r="G13" s="186">
        <f t="shared" si="10"/>
        <v>71.91</v>
      </c>
      <c r="H13" s="186">
        <f t="shared" si="10"/>
        <v>8.745000000000001</v>
      </c>
      <c r="I13" s="186">
        <f>(P13+Q13+R13+S13+T13+U13+O13)</f>
        <v>34.564739999999993</v>
      </c>
      <c r="J13" s="186">
        <f>I13+H13</f>
        <v>43.309739999999991</v>
      </c>
      <c r="K13" s="186">
        <f>J13+G13</f>
        <v>115.21973999999999</v>
      </c>
      <c r="L13" s="188"/>
      <c r="M13" s="188"/>
      <c r="O13" s="178">
        <f>O6</f>
        <v>11.798033999999999</v>
      </c>
      <c r="P13" s="178">
        <f t="shared" ref="P13:U16" si="11">P6*1.5</f>
        <v>8.6220090000000003</v>
      </c>
      <c r="Q13" s="178">
        <f t="shared" si="11"/>
        <v>2.1572999999999998</v>
      </c>
      <c r="R13" s="178">
        <f t="shared" si="11"/>
        <v>8.744256</v>
      </c>
      <c r="S13" s="178">
        <f>S6*1.5</f>
        <v>0.136629</v>
      </c>
      <c r="T13" s="178">
        <f>T6*1.5</f>
        <v>1.4381999999999999</v>
      </c>
      <c r="U13" s="178">
        <f t="shared" si="11"/>
        <v>1.6683119999999998</v>
      </c>
      <c r="V13" s="167"/>
    </row>
    <row r="14" spans="1:22" x14ac:dyDescent="0.3">
      <c r="A14" s="132" t="s">
        <v>14</v>
      </c>
      <c r="B14" s="129">
        <v>2</v>
      </c>
      <c r="C14" s="129" t="s">
        <v>18</v>
      </c>
      <c r="D14" s="132" t="s">
        <v>23</v>
      </c>
      <c r="E14" s="129" t="s">
        <v>17</v>
      </c>
      <c r="F14" s="186">
        <f t="shared" si="10"/>
        <v>85.903344000000004</v>
      </c>
      <c r="G14" s="186">
        <f t="shared" si="10"/>
        <v>76.59</v>
      </c>
      <c r="H14" s="186">
        <f t="shared" si="10"/>
        <v>9.3133440000000007</v>
      </c>
      <c r="I14" s="186">
        <f t="shared" ref="I14:I16" si="12">(P14+Q14+R14+S14+T14+U14+O14)</f>
        <v>36.814260000000004</v>
      </c>
      <c r="J14" s="186">
        <f>I14+H14</f>
        <v>46.127604000000005</v>
      </c>
      <c r="K14" s="186">
        <f>J14+G14</f>
        <v>122.71760400000001</v>
      </c>
      <c r="L14" s="188"/>
      <c r="M14" s="188"/>
      <c r="O14" s="178">
        <f t="shared" ref="O14:O16" si="13">O7</f>
        <v>12.565866</v>
      </c>
      <c r="P14" s="178">
        <f t="shared" si="11"/>
        <v>9.1831410000000009</v>
      </c>
      <c r="Q14" s="178">
        <f t="shared" si="11"/>
        <v>2.2976999999999999</v>
      </c>
      <c r="R14" s="178">
        <f t="shared" si="11"/>
        <v>9.3133440000000007</v>
      </c>
      <c r="S14" s="178">
        <f t="shared" si="11"/>
        <v>0.14552100000000001</v>
      </c>
      <c r="T14" s="178">
        <f t="shared" ref="T14" si="14">T7*1.5</f>
        <v>1.5318000000000001</v>
      </c>
      <c r="U14" s="178">
        <f t="shared" si="11"/>
        <v>1.7768879999999998</v>
      </c>
      <c r="V14" s="167"/>
    </row>
    <row r="15" spans="1:22" x14ac:dyDescent="0.3">
      <c r="A15" s="132" t="s">
        <v>14</v>
      </c>
      <c r="B15" s="129">
        <v>2</v>
      </c>
      <c r="C15" s="129" t="s">
        <v>20</v>
      </c>
      <c r="D15" s="132" t="s">
        <v>21</v>
      </c>
      <c r="E15" s="129" t="s">
        <v>17</v>
      </c>
      <c r="F15" s="186">
        <f t="shared" si="10"/>
        <v>88.712952000000001</v>
      </c>
      <c r="G15" s="186">
        <f t="shared" si="10"/>
        <v>79.094999999999999</v>
      </c>
      <c r="H15" s="186">
        <f t="shared" si="10"/>
        <v>9.6179519999999989</v>
      </c>
      <c r="I15" s="186">
        <f t="shared" si="12"/>
        <v>38.018329999999999</v>
      </c>
      <c r="J15" s="186">
        <f>I15+H15</f>
        <v>47.636281999999994</v>
      </c>
      <c r="K15" s="186">
        <f>J15+G15</f>
        <v>126.73128199999999</v>
      </c>
      <c r="L15" s="188"/>
      <c r="M15" s="188"/>
      <c r="O15" s="178">
        <f t="shared" si="13"/>
        <v>12.976852999999998</v>
      </c>
      <c r="P15" s="178">
        <f t="shared" si="11"/>
        <v>9.4834904999999985</v>
      </c>
      <c r="Q15" s="178">
        <f t="shared" si="11"/>
        <v>2.3728499999999997</v>
      </c>
      <c r="R15" s="178">
        <f t="shared" si="11"/>
        <v>9.6179519999999989</v>
      </c>
      <c r="S15" s="178">
        <f t="shared" si="11"/>
        <v>0.15028049999999998</v>
      </c>
      <c r="T15" s="178">
        <f t="shared" ref="T15" si="15">T8*1.5</f>
        <v>1.5819000000000001</v>
      </c>
      <c r="U15" s="178">
        <f t="shared" si="11"/>
        <v>1.8350039999999996</v>
      </c>
      <c r="V15" s="167"/>
    </row>
    <row r="16" spans="1:22" x14ac:dyDescent="0.3">
      <c r="A16" s="132" t="s">
        <v>14</v>
      </c>
      <c r="B16" s="129">
        <v>2</v>
      </c>
      <c r="C16" s="129" t="s">
        <v>104</v>
      </c>
      <c r="D16" s="132" t="s">
        <v>101</v>
      </c>
      <c r="E16" s="129" t="s">
        <v>17</v>
      </c>
      <c r="F16" s="186">
        <f t="shared" si="10"/>
        <v>82.335000000000008</v>
      </c>
      <c r="G16" s="186">
        <f t="shared" si="10"/>
        <v>73.41</v>
      </c>
      <c r="H16" s="186">
        <f t="shared" si="10"/>
        <v>8.9250000000000007</v>
      </c>
      <c r="I16" s="186">
        <f t="shared" si="12"/>
        <v>35.285740000000004</v>
      </c>
      <c r="J16" s="186">
        <f>I16+H16</f>
        <v>44.210740000000001</v>
      </c>
      <c r="K16" s="186">
        <f>J16+G16</f>
        <v>117.62074</v>
      </c>
      <c r="L16" s="188"/>
      <c r="M16" s="188"/>
      <c r="O16" s="178">
        <f t="shared" si="13"/>
        <v>12.044133999999998</v>
      </c>
      <c r="P16" s="178">
        <f t="shared" si="11"/>
        <v>8.8018590000000003</v>
      </c>
      <c r="Q16" s="178">
        <f t="shared" si="11"/>
        <v>2.2023000000000001</v>
      </c>
      <c r="R16" s="178">
        <f t="shared" si="11"/>
        <v>8.9266559999999995</v>
      </c>
      <c r="S16" s="178">
        <f t="shared" si="11"/>
        <v>0.13947899999999999</v>
      </c>
      <c r="T16" s="178">
        <f t="shared" ref="T16" si="16">T9*1.5</f>
        <v>1.4681999999999999</v>
      </c>
      <c r="U16" s="178">
        <f t="shared" si="11"/>
        <v>1.703112</v>
      </c>
      <c r="V16" s="167"/>
    </row>
    <row r="17" spans="1:13" ht="4.95" customHeight="1" x14ac:dyDescent="0.3">
      <c r="A17" s="158"/>
      <c r="B17" s="159"/>
      <c r="C17" s="159"/>
      <c r="D17" s="158"/>
      <c r="E17" s="159"/>
      <c r="F17" s="159"/>
      <c r="G17" s="160"/>
      <c r="H17" s="160"/>
      <c r="I17" s="160"/>
      <c r="J17" s="160"/>
      <c r="K17" s="160"/>
      <c r="L17" s="160"/>
      <c r="M17" s="160"/>
    </row>
    <row r="18" spans="1:13" x14ac:dyDescent="0.3">
      <c r="A18" s="158"/>
      <c r="B18" s="140" t="s">
        <v>121</v>
      </c>
      <c r="C18" s="159"/>
      <c r="D18" s="158"/>
      <c r="E18" s="159"/>
      <c r="F18" s="159"/>
      <c r="G18" s="160"/>
      <c r="H18" s="160"/>
      <c r="I18" s="160"/>
      <c r="J18" s="160"/>
      <c r="K18" s="160"/>
      <c r="L18" s="160"/>
      <c r="M18" s="160"/>
    </row>
    <row r="19" spans="1:13" x14ac:dyDescent="0.3">
      <c r="A19" s="158"/>
      <c r="B19" s="132" t="s">
        <v>158</v>
      </c>
      <c r="C19" s="159"/>
      <c r="D19" s="158"/>
      <c r="E19" s="159"/>
      <c r="F19" s="159"/>
      <c r="G19" s="160"/>
      <c r="H19" s="160"/>
      <c r="I19" s="160"/>
      <c r="J19" s="160"/>
      <c r="K19" s="160"/>
      <c r="L19" s="160"/>
      <c r="M19" s="160"/>
    </row>
    <row r="20" spans="1:13" ht="4.95" customHeight="1" x14ac:dyDescent="0.3">
      <c r="A20" s="158"/>
      <c r="B20" s="129"/>
      <c r="C20" s="159"/>
      <c r="D20" s="158"/>
      <c r="E20" s="159"/>
      <c r="F20" s="159"/>
      <c r="G20" s="160"/>
      <c r="H20" s="160"/>
      <c r="I20" s="160"/>
      <c r="J20" s="160"/>
      <c r="K20" s="160"/>
      <c r="L20" s="160"/>
      <c r="M20" s="160"/>
    </row>
    <row r="21" spans="1:13" x14ac:dyDescent="0.3">
      <c r="A21" s="158"/>
      <c r="B21" s="140" t="s">
        <v>120</v>
      </c>
      <c r="C21" s="159"/>
      <c r="D21" s="158"/>
      <c r="E21" s="159"/>
      <c r="F21" s="159"/>
      <c r="G21" s="160"/>
      <c r="H21" s="160"/>
      <c r="I21" s="160"/>
      <c r="J21" s="160"/>
      <c r="K21" s="160"/>
      <c r="L21" s="160"/>
      <c r="M21" s="160"/>
    </row>
    <row r="22" spans="1:13" x14ac:dyDescent="0.3">
      <c r="A22" s="168"/>
      <c r="B22" s="132" t="s">
        <v>117</v>
      </c>
      <c r="C22" s="159"/>
      <c r="E22" s="159"/>
      <c r="F22" s="159"/>
      <c r="G22" s="159"/>
      <c r="H22" s="159"/>
      <c r="I22" s="160"/>
      <c r="J22" s="160"/>
      <c r="K22" s="160"/>
      <c r="L22" s="160"/>
      <c r="M22" s="160"/>
    </row>
    <row r="23" spans="1:13" x14ac:dyDescent="0.3">
      <c r="A23" s="168"/>
      <c r="B23" s="132" t="s">
        <v>118</v>
      </c>
      <c r="C23" s="159"/>
      <c r="E23" s="159"/>
      <c r="F23" s="159"/>
      <c r="G23" s="159"/>
      <c r="H23" s="159"/>
      <c r="I23" s="160"/>
      <c r="J23" s="160"/>
      <c r="K23" s="160"/>
      <c r="L23" s="160"/>
      <c r="M23" s="160"/>
    </row>
    <row r="24" spans="1:13" ht="7.2" customHeight="1" x14ac:dyDescent="0.3">
      <c r="A24" s="168"/>
      <c r="B24" s="132"/>
      <c r="C24" s="159"/>
      <c r="E24" s="159"/>
      <c r="F24" s="159"/>
      <c r="G24" s="159"/>
      <c r="H24" s="159"/>
      <c r="I24" s="160"/>
      <c r="J24" s="160"/>
      <c r="K24" s="160"/>
      <c r="L24" s="160"/>
      <c r="M24" s="160"/>
    </row>
    <row r="25" spans="1:13" ht="6" customHeight="1" x14ac:dyDescent="0.3">
      <c r="A25" s="168"/>
      <c r="B25" s="129"/>
      <c r="C25" s="168"/>
      <c r="D25" s="168"/>
      <c r="E25" s="169"/>
      <c r="F25" s="169"/>
      <c r="G25" s="168"/>
      <c r="H25" s="168"/>
      <c r="I25" s="169"/>
      <c r="J25" s="169"/>
      <c r="K25" s="169"/>
      <c r="L25" s="169"/>
      <c r="M25" s="169"/>
    </row>
    <row r="26" spans="1:13" x14ac:dyDescent="0.3">
      <c r="B26" s="157" t="s">
        <v>65</v>
      </c>
      <c r="C26" s="159"/>
    </row>
    <row r="27" spans="1:13" x14ac:dyDescent="0.3">
      <c r="B27" s="132" t="s">
        <v>126</v>
      </c>
      <c r="C27" s="132"/>
      <c r="D27" s="132"/>
      <c r="E27" s="132"/>
      <c r="F27" s="132"/>
    </row>
    <row r="28" spans="1:13" x14ac:dyDescent="0.3">
      <c r="B28" s="132" t="s">
        <v>127</v>
      </c>
      <c r="C28" s="132"/>
      <c r="D28" s="132"/>
      <c r="E28" s="132"/>
      <c r="F28" s="132"/>
    </row>
    <row r="29" spans="1:13" x14ac:dyDescent="0.3">
      <c r="B29" s="132" t="s">
        <v>128</v>
      </c>
      <c r="C29" s="132"/>
      <c r="D29" s="132"/>
      <c r="E29" s="132"/>
      <c r="F29" s="132"/>
    </row>
    <row r="30" spans="1:13" x14ac:dyDescent="0.3">
      <c r="B30" s="132" t="s">
        <v>177</v>
      </c>
      <c r="C30" s="132"/>
      <c r="D30" s="132"/>
      <c r="E30" s="132"/>
      <c r="F30" s="132"/>
    </row>
    <row r="31" spans="1:13" x14ac:dyDescent="0.3">
      <c r="B31" s="132" t="s">
        <v>129</v>
      </c>
      <c r="C31" s="132"/>
      <c r="D31" s="132"/>
      <c r="E31" s="132"/>
      <c r="F31" s="132"/>
    </row>
    <row r="32" spans="1:13" ht="4.95" customHeight="1" x14ac:dyDescent="0.3">
      <c r="B32" s="132"/>
      <c r="C32" s="132"/>
      <c r="D32" s="132"/>
      <c r="E32" s="132"/>
      <c r="F32" s="132"/>
    </row>
    <row r="33" spans="2:9" x14ac:dyDescent="0.3">
      <c r="B33" s="170" t="s">
        <v>116</v>
      </c>
      <c r="C33" s="171"/>
    </row>
    <row r="34" spans="2:9" x14ac:dyDescent="0.3">
      <c r="B34" s="131" t="s">
        <v>107</v>
      </c>
      <c r="D34" s="142"/>
    </row>
    <row r="35" spans="2:9" x14ac:dyDescent="0.3">
      <c r="B35" s="131" t="s">
        <v>108</v>
      </c>
    </row>
    <row r="36" spans="2:9" ht="14.4" thickBot="1" x14ac:dyDescent="0.35"/>
    <row r="37" spans="2:9" x14ac:dyDescent="0.3">
      <c r="B37" s="143" t="s">
        <v>119</v>
      </c>
      <c r="C37" s="144"/>
      <c r="D37" s="144"/>
      <c r="E37" s="144"/>
      <c r="F37" s="144"/>
      <c r="G37" s="144"/>
      <c r="H37" s="144"/>
      <c r="I37" s="146"/>
    </row>
    <row r="38" spans="2:9" x14ac:dyDescent="0.3">
      <c r="B38" s="147" t="s">
        <v>138</v>
      </c>
      <c r="I38" s="148"/>
    </row>
    <row r="39" spans="2:9" x14ac:dyDescent="0.3">
      <c r="B39" s="147" t="s">
        <v>151</v>
      </c>
      <c r="I39" s="148"/>
    </row>
    <row r="40" spans="2:9" x14ac:dyDescent="0.3">
      <c r="B40" s="147"/>
      <c r="I40" s="148"/>
    </row>
    <row r="41" spans="2:9" x14ac:dyDescent="0.3">
      <c r="B41" s="149" t="s">
        <v>147</v>
      </c>
      <c r="C41" s="142" t="s">
        <v>148</v>
      </c>
      <c r="D41" s="142"/>
      <c r="E41" s="142"/>
      <c r="F41" s="142" t="s">
        <v>149</v>
      </c>
      <c r="G41" s="142"/>
      <c r="I41" s="148"/>
    </row>
    <row r="42" spans="2:9" x14ac:dyDescent="0.3">
      <c r="B42" s="147" t="s">
        <v>139</v>
      </c>
      <c r="C42" s="131" t="s">
        <v>142</v>
      </c>
      <c r="F42" s="131" t="s">
        <v>145</v>
      </c>
      <c r="I42" s="148"/>
    </row>
    <row r="43" spans="2:9" x14ac:dyDescent="0.3">
      <c r="B43" s="147"/>
      <c r="I43" s="148"/>
    </row>
    <row r="44" spans="2:9" x14ac:dyDescent="0.3">
      <c r="B44" s="147" t="s">
        <v>140</v>
      </c>
      <c r="C44" s="151" t="s">
        <v>144</v>
      </c>
      <c r="F44" s="131" t="s">
        <v>146</v>
      </c>
      <c r="I44" s="148"/>
    </row>
    <row r="45" spans="2:9" x14ac:dyDescent="0.3">
      <c r="B45" s="147"/>
      <c r="I45" s="148"/>
    </row>
    <row r="46" spans="2:9" ht="14.4" thickBot="1" x14ac:dyDescent="0.35">
      <c r="B46" s="152" t="s">
        <v>141</v>
      </c>
      <c r="C46" s="153" t="s">
        <v>143</v>
      </c>
      <c r="D46" s="155"/>
      <c r="E46" s="155"/>
      <c r="F46" s="155" t="s">
        <v>152</v>
      </c>
      <c r="G46" s="155"/>
      <c r="H46" s="155"/>
      <c r="I46" s="156"/>
    </row>
  </sheetData>
  <pageMargins left="0.25" right="0.25" top="0.75" bottom="0.75" header="0.3" footer="0.3"/>
  <pageSetup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C55"/>
  <sheetViews>
    <sheetView showGridLines="0" topLeftCell="F1" workbookViewId="0">
      <selection activeCell="T7" sqref="T7"/>
    </sheetView>
  </sheetViews>
  <sheetFormatPr defaultColWidth="9.109375" defaultRowHeight="13.8" x14ac:dyDescent="0.3"/>
  <cols>
    <col min="1" max="1" width="5.109375" style="131" customWidth="1"/>
    <col min="2" max="2" width="4.109375" style="131" bestFit="1" customWidth="1"/>
    <col min="3" max="3" width="7" style="131" bestFit="1" customWidth="1"/>
    <col min="4" max="4" width="31.44140625" style="131" customWidth="1"/>
    <col min="5" max="5" width="9.109375" style="131" customWidth="1"/>
    <col min="6" max="6" width="6.5546875" style="141" bestFit="1" customWidth="1"/>
    <col min="7" max="7" width="4" style="131" customWidth="1"/>
    <col min="8" max="8" width="18.33203125" style="131" customWidth="1"/>
    <col min="9" max="9" width="10.44140625" style="131" customWidth="1"/>
    <col min="10" max="10" width="8" style="131" customWidth="1"/>
    <col min="11" max="11" width="11.88671875" style="131" customWidth="1"/>
    <col min="12" max="12" width="5.44140625" style="131" customWidth="1"/>
    <col min="13" max="13" width="5.33203125" style="131" customWidth="1"/>
    <col min="14" max="14" width="9.5546875" style="131" customWidth="1"/>
    <col min="15" max="15" width="6.88671875" style="131" customWidth="1"/>
    <col min="16" max="16" width="5.44140625" style="131" bestFit="1" customWidth="1"/>
    <col min="17" max="17" width="9.44140625" style="131" customWidth="1"/>
    <col min="18" max="18" width="7.33203125" style="131" bestFit="1" customWidth="1"/>
    <col min="19" max="19" width="5.44140625" style="131" bestFit="1" customWidth="1"/>
    <col min="20" max="20" width="11.5546875" style="131" bestFit="1" customWidth="1"/>
    <col min="21" max="21" width="9" style="131" bestFit="1" customWidth="1"/>
    <col min="22" max="22" width="8.88671875" style="131" customWidth="1"/>
    <col min="23" max="23" width="11.88671875" style="131" bestFit="1" customWidth="1"/>
    <col min="24" max="24" width="6.6640625" style="131" bestFit="1" customWidth="1"/>
    <col min="25" max="25" width="5" style="131" customWidth="1"/>
    <col min="26" max="26" width="6.44140625" style="131" customWidth="1"/>
    <col min="27" max="28" width="6.6640625" style="131" bestFit="1" customWidth="1"/>
    <col min="29" max="29" width="11.88671875" style="131" bestFit="1" customWidth="1"/>
    <col min="30" max="30" width="6.6640625" style="131" bestFit="1" customWidth="1"/>
    <col min="31" max="16384" width="9.109375" style="131"/>
  </cols>
  <sheetData>
    <row r="1" spans="1:29" ht="15.6" x14ac:dyDescent="0.3">
      <c r="A1" s="126" t="s">
        <v>105</v>
      </c>
      <c r="B1" s="127"/>
      <c r="C1" s="127"/>
      <c r="D1" s="126"/>
      <c r="E1" s="127"/>
      <c r="F1" s="128"/>
      <c r="G1" s="129"/>
      <c r="H1" s="129"/>
      <c r="I1" s="130"/>
      <c r="J1" s="130"/>
      <c r="N1" s="130"/>
      <c r="O1" s="130"/>
      <c r="P1" s="130"/>
      <c r="Q1" s="130"/>
      <c r="R1" s="130"/>
      <c r="S1" s="130"/>
      <c r="T1" s="130"/>
      <c r="U1" s="130"/>
      <c r="V1" s="130"/>
      <c r="W1" s="130"/>
      <c r="X1" s="130"/>
      <c r="Y1" s="130"/>
      <c r="Z1" s="130"/>
      <c r="AA1" s="130"/>
      <c r="AB1" s="130"/>
    </row>
    <row r="2" spans="1:29" ht="15.6" x14ac:dyDescent="0.3">
      <c r="A2" s="126" t="s">
        <v>173</v>
      </c>
      <c r="B2" s="127"/>
      <c r="C2" s="127"/>
      <c r="D2" s="126"/>
      <c r="E2" s="127"/>
      <c r="F2" s="128"/>
      <c r="G2" s="129"/>
      <c r="H2" s="129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  <c r="T2" s="130"/>
      <c r="U2" s="130"/>
      <c r="V2" s="130"/>
      <c r="W2" s="130"/>
      <c r="X2" s="130"/>
      <c r="Y2" s="130"/>
      <c r="Z2" s="130"/>
      <c r="AA2" s="130"/>
      <c r="AB2" s="130"/>
    </row>
    <row r="3" spans="1:29" hidden="1" x14ac:dyDescent="0.3">
      <c r="A3" s="132"/>
      <c r="B3" s="129"/>
      <c r="C3" s="129"/>
      <c r="D3" s="132"/>
      <c r="E3" s="129"/>
      <c r="F3" s="133"/>
      <c r="G3" s="129"/>
      <c r="H3" s="129"/>
      <c r="I3" s="130"/>
      <c r="J3" s="130"/>
      <c r="K3" s="130"/>
      <c r="L3" s="130"/>
      <c r="M3" s="130"/>
      <c r="N3" s="130"/>
      <c r="O3" s="130"/>
      <c r="P3" s="130"/>
      <c r="Q3" s="130"/>
      <c r="R3" s="130"/>
      <c r="S3" s="130"/>
      <c r="T3" s="130"/>
      <c r="U3" s="130"/>
      <c r="V3" s="130"/>
      <c r="W3" s="130"/>
      <c r="X3" s="130"/>
      <c r="Y3" s="130"/>
      <c r="Z3" s="130"/>
      <c r="AA3" s="130"/>
      <c r="AB3" s="130"/>
    </row>
    <row r="4" spans="1:29" hidden="1" x14ac:dyDescent="0.3">
      <c r="A4" s="132"/>
      <c r="B4" s="129"/>
      <c r="C4" s="129"/>
      <c r="D4" s="132"/>
      <c r="E4" s="129"/>
      <c r="F4" s="133"/>
      <c r="G4" s="129"/>
      <c r="H4" s="129"/>
      <c r="I4" s="130"/>
      <c r="J4" s="130"/>
      <c r="K4" s="130"/>
      <c r="L4" s="130"/>
      <c r="M4" s="130"/>
    </row>
    <row r="5" spans="1:29" x14ac:dyDescent="0.3">
      <c r="A5" s="132"/>
      <c r="B5" s="129"/>
      <c r="C5" s="129"/>
      <c r="D5" s="132"/>
      <c r="E5" s="129"/>
      <c r="F5" s="133"/>
      <c r="G5" s="129"/>
      <c r="H5" s="129"/>
      <c r="I5" s="130"/>
      <c r="J5" s="130"/>
      <c r="K5" s="130"/>
      <c r="L5" s="130"/>
      <c r="M5" s="130"/>
    </row>
    <row r="6" spans="1:29" x14ac:dyDescent="0.3">
      <c r="A6" s="134"/>
      <c r="B6" s="129"/>
      <c r="C6" s="129"/>
      <c r="D6" s="132"/>
      <c r="E6" s="129"/>
      <c r="F6" s="133"/>
      <c r="G6" s="129"/>
      <c r="H6" s="129"/>
      <c r="I6" s="129"/>
      <c r="J6" s="129"/>
      <c r="K6" s="130"/>
      <c r="L6" s="130"/>
      <c r="M6" s="130"/>
      <c r="N6" s="233"/>
      <c r="O6" s="233"/>
      <c r="P6" s="233"/>
      <c r="Q6" s="233"/>
      <c r="R6" s="233"/>
      <c r="S6" s="233"/>
    </row>
    <row r="7" spans="1:29" ht="41.25" customHeight="1" x14ac:dyDescent="0.3">
      <c r="A7" s="190" t="s">
        <v>5</v>
      </c>
      <c r="B7" s="190" t="s">
        <v>6</v>
      </c>
      <c r="C7" s="190" t="s">
        <v>174</v>
      </c>
      <c r="D7" s="190" t="s">
        <v>125</v>
      </c>
      <c r="E7" s="191" t="s">
        <v>13</v>
      </c>
      <c r="F7" s="192"/>
      <c r="G7" s="193" t="s">
        <v>9</v>
      </c>
      <c r="H7" s="190" t="s">
        <v>122</v>
      </c>
      <c r="I7" s="190" t="s">
        <v>123</v>
      </c>
      <c r="J7" s="190" t="s">
        <v>110</v>
      </c>
      <c r="K7" s="190" t="s">
        <v>111</v>
      </c>
      <c r="L7" s="190" t="s">
        <v>154</v>
      </c>
      <c r="M7" s="190" t="s">
        <v>141</v>
      </c>
      <c r="N7" s="194" t="s">
        <v>168</v>
      </c>
      <c r="O7" s="190" t="s">
        <v>42</v>
      </c>
      <c r="P7" s="190" t="s">
        <v>41</v>
      </c>
      <c r="Q7" s="190" t="s">
        <v>63</v>
      </c>
      <c r="R7" s="190" t="s">
        <v>169</v>
      </c>
      <c r="S7" s="190" t="s">
        <v>45</v>
      </c>
      <c r="T7" s="193" t="s">
        <v>171</v>
      </c>
      <c r="U7" s="193" t="s">
        <v>172</v>
      </c>
      <c r="V7" s="129"/>
      <c r="W7" s="129"/>
      <c r="X7" s="129"/>
      <c r="Y7" s="129"/>
      <c r="Z7" s="129"/>
      <c r="AA7"/>
      <c r="AB7"/>
      <c r="AC7"/>
    </row>
    <row r="8" spans="1:29" x14ac:dyDescent="0.3">
      <c r="A8" s="132" t="s">
        <v>14</v>
      </c>
      <c r="B8" s="129">
        <v>2</v>
      </c>
      <c r="C8" s="134" t="s">
        <v>175</v>
      </c>
      <c r="D8" s="132" t="s">
        <v>30</v>
      </c>
      <c r="E8" s="129"/>
      <c r="F8" s="133"/>
      <c r="G8" s="129"/>
      <c r="H8" s="129"/>
      <c r="I8" s="137"/>
      <c r="J8" s="138"/>
      <c r="K8" s="130"/>
      <c r="L8" s="130"/>
      <c r="M8" s="130"/>
      <c r="N8" s="135"/>
      <c r="AA8"/>
      <c r="AB8"/>
      <c r="AC8"/>
    </row>
    <row r="9" spans="1:29" x14ac:dyDescent="0.3">
      <c r="A9" s="132"/>
      <c r="B9" s="129"/>
      <c r="C9" s="129"/>
      <c r="D9" s="132" t="s">
        <v>155</v>
      </c>
      <c r="E9" s="132"/>
      <c r="F9" s="133">
        <v>0.45</v>
      </c>
      <c r="G9" s="129" t="s">
        <v>17</v>
      </c>
      <c r="H9" s="186">
        <f>I9+J9</f>
        <v>22.863</v>
      </c>
      <c r="I9" s="186">
        <f>F9*'2021 calcs '!E2</f>
        <v>21.573</v>
      </c>
      <c r="J9" s="187">
        <v>1.29</v>
      </c>
      <c r="K9" s="186">
        <f>N9+O9+P9+R9+S9</f>
        <v>15.590000000000002</v>
      </c>
      <c r="L9" s="186">
        <f>I9*0.1</f>
        <v>2.1573000000000002</v>
      </c>
      <c r="M9" s="186">
        <f>I9*0.15</f>
        <v>3.2359499999999999</v>
      </c>
      <c r="N9" s="187">
        <v>11.8</v>
      </c>
      <c r="O9" s="186">
        <f t="shared" ref="O9:O14" si="0">ROUND(LocPen*I9,2)</f>
        <v>2.59</v>
      </c>
      <c r="P9" s="186">
        <f t="shared" ref="P9:P14" si="1">ROUND(NBEF*I9,2)</f>
        <v>0.65</v>
      </c>
      <c r="Q9" s="186" t="s">
        <v>113</v>
      </c>
      <c r="R9" s="186">
        <f t="shared" ref="R9:R14" si="2">ROUND(LMCC*I9,2)+NLMCC</f>
        <v>0.05</v>
      </c>
      <c r="S9" s="186">
        <f t="shared" ref="S9:S14" si="3">ROUND(JATC*I9,2)</f>
        <v>0.5</v>
      </c>
      <c r="T9" s="178">
        <f>SUM(N9:S9)+J9</f>
        <v>16.880000000000003</v>
      </c>
      <c r="U9" s="178">
        <f>T9+I9</f>
        <v>38.453000000000003</v>
      </c>
      <c r="V9" s="139"/>
      <c r="W9" s="131" t="s">
        <v>42</v>
      </c>
      <c r="X9" s="184">
        <v>0.11990000000000001</v>
      </c>
      <c r="Y9" s="139"/>
      <c r="Z9" s="139"/>
      <c r="AA9"/>
      <c r="AB9"/>
      <c r="AC9"/>
    </row>
    <row r="10" spans="1:29" x14ac:dyDescent="0.3">
      <c r="A10" s="132"/>
      <c r="B10" s="129"/>
      <c r="C10" s="129"/>
      <c r="D10" s="132" t="s">
        <v>156</v>
      </c>
      <c r="E10" s="129"/>
      <c r="F10" s="133">
        <v>0.45</v>
      </c>
      <c r="G10" s="129" t="s">
        <v>17</v>
      </c>
      <c r="H10" s="186">
        <f t="shared" ref="H10:H14" si="4">I10+J10</f>
        <v>24.193000000000001</v>
      </c>
      <c r="I10" s="186">
        <f>F10*'2021 calcs '!E2</f>
        <v>21.573</v>
      </c>
      <c r="J10" s="187">
        <v>2.62</v>
      </c>
      <c r="K10" s="186">
        <f>N10+O10+P10+R10+S10</f>
        <v>15.590000000000002</v>
      </c>
      <c r="L10" s="186">
        <f t="shared" ref="L10:L14" si="5">I10*0.1</f>
        <v>2.1573000000000002</v>
      </c>
      <c r="M10" s="186">
        <f t="shared" ref="M10:M14" si="6">I10*0.15</f>
        <v>3.2359499999999999</v>
      </c>
      <c r="N10" s="187">
        <v>11.8</v>
      </c>
      <c r="O10" s="186">
        <f t="shared" si="0"/>
        <v>2.59</v>
      </c>
      <c r="P10" s="186">
        <f t="shared" si="1"/>
        <v>0.65</v>
      </c>
      <c r="Q10" s="186" t="s">
        <v>113</v>
      </c>
      <c r="R10" s="186">
        <f t="shared" si="2"/>
        <v>0.05</v>
      </c>
      <c r="S10" s="186">
        <f t="shared" si="3"/>
        <v>0.5</v>
      </c>
      <c r="T10" s="178">
        <f t="shared" ref="T10:T14" si="7">SUM(N10:S10)+J10</f>
        <v>18.21</v>
      </c>
      <c r="U10" s="178">
        <f t="shared" ref="U10:U14" si="8">T10+I10</f>
        <v>39.783000000000001</v>
      </c>
      <c r="V10" s="139"/>
      <c r="W10" s="131" t="s">
        <v>161</v>
      </c>
      <c r="X10" s="183">
        <v>0.03</v>
      </c>
      <c r="Y10" s="139"/>
      <c r="Z10" s="139"/>
      <c r="AA10"/>
      <c r="AB10"/>
      <c r="AC10"/>
    </row>
    <row r="11" spans="1:29" x14ac:dyDescent="0.3">
      <c r="A11" s="132"/>
      <c r="B11" s="129"/>
      <c r="C11" s="129"/>
      <c r="D11" s="132" t="s">
        <v>33</v>
      </c>
      <c r="E11" s="129"/>
      <c r="F11" s="133">
        <v>0.5</v>
      </c>
      <c r="G11" s="129" t="s">
        <v>17</v>
      </c>
      <c r="H11" s="186">
        <f t="shared" si="4"/>
        <v>26.88</v>
      </c>
      <c r="I11" s="186">
        <f>F11*'2021 calcs '!E2</f>
        <v>23.97</v>
      </c>
      <c r="J11" s="187">
        <v>2.91</v>
      </c>
      <c r="K11" s="186">
        <f t="shared" ref="K11:K14" si="9">N11+O11+P11+Q11+R11+S11</f>
        <v>18.920000000000002</v>
      </c>
      <c r="L11" s="186">
        <f t="shared" si="5"/>
        <v>2.3969999999999998</v>
      </c>
      <c r="M11" s="186">
        <f t="shared" si="6"/>
        <v>3.5954999999999999</v>
      </c>
      <c r="N11" s="187">
        <v>11.8</v>
      </c>
      <c r="O11" s="186">
        <f t="shared" si="0"/>
        <v>2.87</v>
      </c>
      <c r="P11" s="186">
        <f t="shared" si="1"/>
        <v>0.72</v>
      </c>
      <c r="Q11" s="186">
        <f>ROUND(AnnSub*I11,2)</f>
        <v>2.91</v>
      </c>
      <c r="R11" s="186">
        <f t="shared" si="2"/>
        <v>6.0000000000000005E-2</v>
      </c>
      <c r="S11" s="186">
        <f t="shared" si="3"/>
        <v>0.56000000000000005</v>
      </c>
      <c r="T11" s="178">
        <f t="shared" si="7"/>
        <v>21.830000000000002</v>
      </c>
      <c r="U11" s="178">
        <f t="shared" si="8"/>
        <v>45.8</v>
      </c>
      <c r="V11" s="139"/>
      <c r="W11" s="131" t="s">
        <v>162</v>
      </c>
      <c r="X11" s="184">
        <v>0.1216</v>
      </c>
      <c r="Y11" s="139"/>
      <c r="Z11" s="139"/>
      <c r="AA11"/>
      <c r="AB11"/>
      <c r="AC11"/>
    </row>
    <row r="12" spans="1:29" x14ac:dyDescent="0.3">
      <c r="D12" s="132" t="s">
        <v>34</v>
      </c>
      <c r="E12" s="129"/>
      <c r="F12" s="133">
        <v>0.6</v>
      </c>
      <c r="G12" s="129" t="s">
        <v>17</v>
      </c>
      <c r="H12" s="186">
        <f t="shared" si="4"/>
        <v>32.263999999999996</v>
      </c>
      <c r="I12" s="186">
        <f>F12*'2021 calcs '!E2</f>
        <v>28.763999999999999</v>
      </c>
      <c r="J12" s="187">
        <v>3.5</v>
      </c>
      <c r="K12" s="186">
        <f t="shared" si="9"/>
        <v>20.34</v>
      </c>
      <c r="L12" s="186">
        <f t="shared" si="5"/>
        <v>2.8764000000000003</v>
      </c>
      <c r="M12" s="186">
        <f t="shared" si="6"/>
        <v>4.3145999999999995</v>
      </c>
      <c r="N12" s="187">
        <v>11.8</v>
      </c>
      <c r="O12" s="186">
        <f t="shared" si="0"/>
        <v>3.45</v>
      </c>
      <c r="P12" s="186">
        <f t="shared" si="1"/>
        <v>0.86</v>
      </c>
      <c r="Q12" s="186">
        <f>ROUND(AnnSub*I12,2)</f>
        <v>3.5</v>
      </c>
      <c r="R12" s="186">
        <f t="shared" si="2"/>
        <v>6.0000000000000005E-2</v>
      </c>
      <c r="S12" s="186">
        <f t="shared" si="3"/>
        <v>0.67</v>
      </c>
      <c r="T12" s="178">
        <f t="shared" si="7"/>
        <v>23.84</v>
      </c>
      <c r="U12" s="178">
        <f t="shared" si="8"/>
        <v>52.603999999999999</v>
      </c>
      <c r="V12" s="139"/>
      <c r="W12" s="131" t="s">
        <v>56</v>
      </c>
      <c r="X12" s="184">
        <v>1.9E-3</v>
      </c>
      <c r="Y12" s="139"/>
      <c r="Z12" s="139"/>
      <c r="AA12"/>
      <c r="AB12"/>
      <c r="AC12"/>
    </row>
    <row r="13" spans="1:29" x14ac:dyDescent="0.3">
      <c r="D13" s="132" t="s">
        <v>35</v>
      </c>
      <c r="E13" s="129"/>
      <c r="F13" s="133">
        <v>0.75</v>
      </c>
      <c r="G13" s="129" t="s">
        <v>17</v>
      </c>
      <c r="H13" s="186">
        <f t="shared" si="4"/>
        <v>40.324999999999996</v>
      </c>
      <c r="I13" s="186">
        <f>F13*'2021 calcs '!E2</f>
        <v>35.954999999999998</v>
      </c>
      <c r="J13" s="187">
        <v>4.37</v>
      </c>
      <c r="K13" s="186">
        <f t="shared" si="9"/>
        <v>22.469999999999995</v>
      </c>
      <c r="L13" s="186">
        <f t="shared" si="5"/>
        <v>3.5954999999999999</v>
      </c>
      <c r="M13" s="186">
        <f t="shared" si="6"/>
        <v>5.3932499999999992</v>
      </c>
      <c r="N13" s="187">
        <v>11.8</v>
      </c>
      <c r="O13" s="186">
        <f t="shared" si="0"/>
        <v>4.3099999999999996</v>
      </c>
      <c r="P13" s="186">
        <f t="shared" si="1"/>
        <v>1.08</v>
      </c>
      <c r="Q13" s="186">
        <f>ROUND(AnnSub*I13,2)</f>
        <v>4.37</v>
      </c>
      <c r="R13" s="186">
        <f t="shared" si="2"/>
        <v>0.08</v>
      </c>
      <c r="S13" s="186">
        <f t="shared" si="3"/>
        <v>0.83</v>
      </c>
      <c r="T13" s="178">
        <f t="shared" si="7"/>
        <v>26.839999999999996</v>
      </c>
      <c r="U13" s="178">
        <f t="shared" si="8"/>
        <v>62.794999999999995</v>
      </c>
      <c r="V13" s="139"/>
      <c r="W13" s="131" t="s">
        <v>164</v>
      </c>
      <c r="X13" s="185">
        <v>0.01</v>
      </c>
      <c r="Y13" s="139"/>
      <c r="Z13" s="139"/>
      <c r="AA13"/>
      <c r="AB13"/>
      <c r="AC13"/>
    </row>
    <row r="14" spans="1:29" x14ac:dyDescent="0.3">
      <c r="D14" s="131" t="s">
        <v>36</v>
      </c>
      <c r="E14" s="129"/>
      <c r="F14" s="133">
        <v>0.85</v>
      </c>
      <c r="G14" s="129"/>
      <c r="H14" s="186">
        <f t="shared" si="4"/>
        <v>45.708999999999996</v>
      </c>
      <c r="I14" s="186">
        <f>F14*'2021 calcs '!E2</f>
        <v>40.748999999999995</v>
      </c>
      <c r="J14" s="187">
        <v>4.96</v>
      </c>
      <c r="K14" s="186">
        <f t="shared" si="9"/>
        <v>23.91</v>
      </c>
      <c r="L14" s="186">
        <f t="shared" si="5"/>
        <v>4.0748999999999995</v>
      </c>
      <c r="M14" s="186">
        <f t="shared" si="6"/>
        <v>6.1123499999999993</v>
      </c>
      <c r="N14" s="187">
        <v>11.8</v>
      </c>
      <c r="O14" s="186">
        <f t="shared" si="0"/>
        <v>4.8899999999999997</v>
      </c>
      <c r="P14" s="186">
        <f t="shared" si="1"/>
        <v>1.22</v>
      </c>
      <c r="Q14" s="186">
        <f>ROUND(AnnSub*I14,2)</f>
        <v>4.96</v>
      </c>
      <c r="R14" s="186">
        <f t="shared" si="2"/>
        <v>0.09</v>
      </c>
      <c r="S14" s="186">
        <f t="shared" si="3"/>
        <v>0.95</v>
      </c>
      <c r="T14" s="178">
        <f t="shared" si="7"/>
        <v>28.87</v>
      </c>
      <c r="U14" s="178">
        <f t="shared" si="8"/>
        <v>69.619</v>
      </c>
      <c r="V14" s="139"/>
      <c r="W14" s="131" t="s">
        <v>45</v>
      </c>
      <c r="X14" s="184">
        <v>2.3199999999999998E-2</v>
      </c>
      <c r="Y14" s="139"/>
      <c r="Z14" s="139"/>
      <c r="AA14"/>
      <c r="AB14"/>
      <c r="AC14"/>
    </row>
    <row r="15" spans="1:29" x14ac:dyDescent="0.3">
      <c r="D15" s="140" t="s">
        <v>157</v>
      </c>
      <c r="H15" s="188"/>
      <c r="I15" s="167"/>
      <c r="J15" s="167"/>
      <c r="K15" s="167"/>
      <c r="L15" s="167"/>
      <c r="M15" s="167"/>
      <c r="N15" s="189"/>
      <c r="O15" s="189"/>
      <c r="P15" s="189"/>
      <c r="Q15" s="189"/>
      <c r="R15" s="189"/>
      <c r="S15" s="189"/>
      <c r="T15" s="167"/>
      <c r="U15" s="167"/>
      <c r="X15"/>
    </row>
    <row r="16" spans="1:29" x14ac:dyDescent="0.3">
      <c r="D16" s="140"/>
      <c r="H16" s="188"/>
      <c r="I16" s="167"/>
      <c r="J16" s="167"/>
      <c r="K16" s="167"/>
      <c r="L16" s="167"/>
      <c r="M16" s="167"/>
      <c r="N16" s="189"/>
      <c r="O16" s="189"/>
      <c r="P16" s="189"/>
      <c r="Q16" s="189"/>
      <c r="R16" s="189"/>
      <c r="S16" s="189"/>
      <c r="T16" s="167"/>
      <c r="U16" s="167"/>
    </row>
    <row r="17" spans="1:21" x14ac:dyDescent="0.3">
      <c r="C17" s="76" t="s">
        <v>176</v>
      </c>
      <c r="D17" s="132" t="s">
        <v>159</v>
      </c>
      <c r="H17" s="188"/>
      <c r="I17" s="167"/>
      <c r="J17" s="167"/>
      <c r="K17" s="167"/>
      <c r="L17" s="167"/>
      <c r="M17" s="167"/>
      <c r="N17" s="189"/>
      <c r="O17" s="189"/>
      <c r="P17" s="189"/>
      <c r="Q17" s="189"/>
      <c r="R17" s="189"/>
      <c r="S17" s="189"/>
      <c r="T17" s="167"/>
      <c r="U17" s="167"/>
    </row>
    <row r="18" spans="1:21" x14ac:dyDescent="0.3">
      <c r="D18" s="231" t="s">
        <v>160</v>
      </c>
      <c r="E18" s="232"/>
      <c r="F18" s="141">
        <v>0.4</v>
      </c>
      <c r="G18" s="131" t="s">
        <v>17</v>
      </c>
      <c r="H18" s="188"/>
      <c r="I18" s="167"/>
      <c r="J18" s="167"/>
      <c r="K18" s="167"/>
      <c r="L18" s="167"/>
      <c r="M18" s="167"/>
      <c r="N18" s="189"/>
      <c r="O18" s="189"/>
      <c r="P18" s="189"/>
      <c r="Q18" s="189"/>
      <c r="R18" s="189"/>
      <c r="S18" s="189"/>
      <c r="T18" s="167"/>
      <c r="U18" s="167"/>
    </row>
    <row r="19" spans="1:21" x14ac:dyDescent="0.3">
      <c r="D19" s="132"/>
      <c r="H19" s="188"/>
      <c r="I19" s="167"/>
      <c r="J19" s="167"/>
      <c r="K19" s="167"/>
      <c r="L19" s="167"/>
      <c r="M19" s="167"/>
      <c r="N19" s="189"/>
      <c r="O19" s="189"/>
      <c r="P19" s="189"/>
      <c r="Q19" s="189"/>
      <c r="R19" s="189"/>
      <c r="S19" s="189"/>
      <c r="T19" s="167"/>
      <c r="U19" s="167"/>
    </row>
    <row r="20" spans="1:21" x14ac:dyDescent="0.3">
      <c r="A20" s="140" t="s">
        <v>22</v>
      </c>
      <c r="B20" s="129"/>
      <c r="C20" s="129"/>
      <c r="D20" s="132"/>
      <c r="E20" s="129"/>
      <c r="F20" s="133"/>
      <c r="G20" s="129"/>
      <c r="H20" s="188"/>
      <c r="I20" s="188"/>
      <c r="J20" s="167"/>
      <c r="K20" s="188"/>
      <c r="L20" s="188"/>
      <c r="M20" s="188"/>
      <c r="N20" s="189"/>
      <c r="O20" s="189"/>
      <c r="P20" s="189"/>
      <c r="Q20" s="189"/>
      <c r="R20" s="189"/>
      <c r="S20" s="189"/>
      <c r="T20" s="167"/>
      <c r="U20" s="167"/>
    </row>
    <row r="21" spans="1:21" x14ac:dyDescent="0.3">
      <c r="D21" s="132" t="s">
        <v>31</v>
      </c>
      <c r="E21" s="132"/>
      <c r="F21" s="133"/>
      <c r="G21" s="129" t="s">
        <v>17</v>
      </c>
      <c r="H21" s="186">
        <f t="shared" ref="H21:H26" si="10">I21+J21</f>
        <v>34.294499999999999</v>
      </c>
      <c r="I21" s="186">
        <f t="shared" ref="I21:J26" si="11">I9*1.5</f>
        <v>32.359499999999997</v>
      </c>
      <c r="J21" s="186">
        <f t="shared" si="11"/>
        <v>1.9350000000000001</v>
      </c>
      <c r="K21" s="186">
        <f>N21+O21+P21+R21+S21</f>
        <v>17.484999999999999</v>
      </c>
      <c r="L21" s="188"/>
      <c r="M21" s="188"/>
      <c r="N21" s="186">
        <f t="shared" ref="N21:N26" si="12">N9</f>
        <v>11.8</v>
      </c>
      <c r="O21" s="186">
        <f t="shared" ref="O21:P26" si="13">O9*1.5</f>
        <v>3.8849999999999998</v>
      </c>
      <c r="P21" s="186">
        <f t="shared" si="13"/>
        <v>0.97500000000000009</v>
      </c>
      <c r="Q21" s="186" t="s">
        <v>113</v>
      </c>
      <c r="R21" s="186">
        <f t="shared" ref="R21:S26" si="14">R9*1.5</f>
        <v>7.5000000000000011E-2</v>
      </c>
      <c r="S21" s="186">
        <f t="shared" si="14"/>
        <v>0.75</v>
      </c>
      <c r="T21" s="167"/>
      <c r="U21" s="167"/>
    </row>
    <row r="22" spans="1:21" x14ac:dyDescent="0.3">
      <c r="D22" s="132" t="s">
        <v>32</v>
      </c>
      <c r="E22" s="129"/>
      <c r="F22" s="133"/>
      <c r="G22" s="129" t="s">
        <v>17</v>
      </c>
      <c r="H22" s="186">
        <f t="shared" si="10"/>
        <v>36.289499999999997</v>
      </c>
      <c r="I22" s="186">
        <f t="shared" si="11"/>
        <v>32.359499999999997</v>
      </c>
      <c r="J22" s="186">
        <f t="shared" si="11"/>
        <v>3.93</v>
      </c>
      <c r="K22" s="186">
        <f>N22+O22+P22+R22+S22</f>
        <v>17.484999999999999</v>
      </c>
      <c r="L22" s="188"/>
      <c r="M22" s="188"/>
      <c r="N22" s="186">
        <f t="shared" si="12"/>
        <v>11.8</v>
      </c>
      <c r="O22" s="186">
        <f t="shared" si="13"/>
        <v>3.8849999999999998</v>
      </c>
      <c r="P22" s="186">
        <f t="shared" si="13"/>
        <v>0.97500000000000009</v>
      </c>
      <c r="Q22" s="186" t="s">
        <v>113</v>
      </c>
      <c r="R22" s="186">
        <f t="shared" si="14"/>
        <v>7.5000000000000011E-2</v>
      </c>
      <c r="S22" s="186">
        <f t="shared" si="14"/>
        <v>0.75</v>
      </c>
      <c r="T22" s="167"/>
      <c r="U22" s="167"/>
    </row>
    <row r="23" spans="1:21" x14ac:dyDescent="0.3">
      <c r="D23" s="132" t="s">
        <v>33</v>
      </c>
      <c r="E23" s="129"/>
      <c r="F23" s="133"/>
      <c r="G23" s="129" t="s">
        <v>17</v>
      </c>
      <c r="H23" s="186">
        <f t="shared" si="10"/>
        <v>40.32</v>
      </c>
      <c r="I23" s="186">
        <f t="shared" si="11"/>
        <v>35.954999999999998</v>
      </c>
      <c r="J23" s="186">
        <f t="shared" si="11"/>
        <v>4.3650000000000002</v>
      </c>
      <c r="K23" s="186">
        <f t="shared" ref="K23:K25" si="15">N23+O23+P23+Q23+R23+S23</f>
        <v>22.480000000000004</v>
      </c>
      <c r="L23" s="188"/>
      <c r="M23" s="188"/>
      <c r="N23" s="186">
        <f t="shared" si="12"/>
        <v>11.8</v>
      </c>
      <c r="O23" s="186">
        <f t="shared" si="13"/>
        <v>4.3049999999999997</v>
      </c>
      <c r="P23" s="186">
        <f t="shared" si="13"/>
        <v>1.08</v>
      </c>
      <c r="Q23" s="186">
        <f>Q11*1.5</f>
        <v>4.3650000000000002</v>
      </c>
      <c r="R23" s="186">
        <f t="shared" si="14"/>
        <v>9.0000000000000011E-2</v>
      </c>
      <c r="S23" s="186">
        <f t="shared" si="14"/>
        <v>0.84000000000000008</v>
      </c>
      <c r="T23" s="167"/>
      <c r="U23" s="167"/>
    </row>
    <row r="24" spans="1:21" x14ac:dyDescent="0.3">
      <c r="D24" s="132" t="s">
        <v>34</v>
      </c>
      <c r="E24" s="129"/>
      <c r="F24" s="133"/>
      <c r="G24" s="129" t="s">
        <v>17</v>
      </c>
      <c r="H24" s="186">
        <f t="shared" si="10"/>
        <v>48.396000000000001</v>
      </c>
      <c r="I24" s="186">
        <f t="shared" si="11"/>
        <v>43.146000000000001</v>
      </c>
      <c r="J24" s="186">
        <f t="shared" si="11"/>
        <v>5.25</v>
      </c>
      <c r="K24" s="186">
        <f t="shared" si="15"/>
        <v>24.61</v>
      </c>
      <c r="L24" s="188"/>
      <c r="M24" s="188"/>
      <c r="N24" s="186">
        <f t="shared" si="12"/>
        <v>11.8</v>
      </c>
      <c r="O24" s="186">
        <f t="shared" si="13"/>
        <v>5.1750000000000007</v>
      </c>
      <c r="P24" s="186">
        <f t="shared" si="13"/>
        <v>1.29</v>
      </c>
      <c r="Q24" s="186">
        <f>Q12*1.5</f>
        <v>5.25</v>
      </c>
      <c r="R24" s="186">
        <f t="shared" si="14"/>
        <v>9.0000000000000011E-2</v>
      </c>
      <c r="S24" s="186">
        <f t="shared" si="14"/>
        <v>1.0050000000000001</v>
      </c>
      <c r="T24" s="167"/>
      <c r="U24" s="167"/>
    </row>
    <row r="25" spans="1:21" x14ac:dyDescent="0.3">
      <c r="D25" s="132" t="s">
        <v>35</v>
      </c>
      <c r="E25" s="129"/>
      <c r="F25" s="133"/>
      <c r="G25" s="129" t="s">
        <v>17</v>
      </c>
      <c r="H25" s="186">
        <f t="shared" si="10"/>
        <v>60.487499999999997</v>
      </c>
      <c r="I25" s="186">
        <f t="shared" si="11"/>
        <v>53.932499999999997</v>
      </c>
      <c r="J25" s="186">
        <f t="shared" si="11"/>
        <v>6.5549999999999997</v>
      </c>
      <c r="K25" s="186">
        <f t="shared" si="15"/>
        <v>27.805000000000003</v>
      </c>
      <c r="L25" s="188"/>
      <c r="M25" s="188"/>
      <c r="N25" s="186">
        <f t="shared" si="12"/>
        <v>11.8</v>
      </c>
      <c r="O25" s="186">
        <f t="shared" si="13"/>
        <v>6.4649999999999999</v>
      </c>
      <c r="P25" s="186">
        <f t="shared" si="13"/>
        <v>1.62</v>
      </c>
      <c r="Q25" s="186">
        <f>Q13*1.5</f>
        <v>6.5549999999999997</v>
      </c>
      <c r="R25" s="186">
        <f t="shared" si="14"/>
        <v>0.12</v>
      </c>
      <c r="S25" s="186">
        <f t="shared" si="14"/>
        <v>1.2449999999999999</v>
      </c>
      <c r="T25" s="167"/>
      <c r="U25" s="167"/>
    </row>
    <row r="26" spans="1:21" x14ac:dyDescent="0.3">
      <c r="D26" s="131" t="s">
        <v>36</v>
      </c>
      <c r="H26" s="186">
        <f t="shared" si="10"/>
        <v>68.563499999999991</v>
      </c>
      <c r="I26" s="186">
        <f t="shared" si="11"/>
        <v>61.123499999999993</v>
      </c>
      <c r="J26" s="186">
        <f t="shared" si="11"/>
        <v>7.4399999999999995</v>
      </c>
      <c r="K26" s="186">
        <f t="shared" ref="K26" si="16">N26+O26+P26+Q26+R26+S26</f>
        <v>29.964999999999996</v>
      </c>
      <c r="L26" s="188"/>
      <c r="M26" s="188"/>
      <c r="N26" s="186">
        <f t="shared" si="12"/>
        <v>11.8</v>
      </c>
      <c r="O26" s="186">
        <f t="shared" si="13"/>
        <v>7.3349999999999991</v>
      </c>
      <c r="P26" s="186">
        <f t="shared" si="13"/>
        <v>1.83</v>
      </c>
      <c r="Q26" s="186">
        <f>Q14*1.5</f>
        <v>7.4399999999999995</v>
      </c>
      <c r="R26" s="186">
        <f t="shared" si="14"/>
        <v>0.13500000000000001</v>
      </c>
      <c r="S26" s="186">
        <f t="shared" si="14"/>
        <v>1.4249999999999998</v>
      </c>
      <c r="T26" s="167"/>
      <c r="U26" s="167"/>
    </row>
    <row r="28" spans="1:21" x14ac:dyDescent="0.3">
      <c r="D28" s="142" t="s">
        <v>124</v>
      </c>
    </row>
    <row r="29" spans="1:21" x14ac:dyDescent="0.3">
      <c r="D29" s="132" t="s">
        <v>69</v>
      </c>
    </row>
    <row r="30" spans="1:21" x14ac:dyDescent="0.3">
      <c r="D30" s="129"/>
    </row>
    <row r="31" spans="1:21" x14ac:dyDescent="0.3">
      <c r="D31" s="140" t="s">
        <v>120</v>
      </c>
    </row>
    <row r="32" spans="1:21" x14ac:dyDescent="0.3">
      <c r="D32" s="132" t="s">
        <v>117</v>
      </c>
    </row>
    <row r="33" spans="4:16" x14ac:dyDescent="0.3">
      <c r="D33" s="132" t="s">
        <v>118</v>
      </c>
    </row>
    <row r="34" spans="4:16" ht="14.4" thickBot="1" x14ac:dyDescent="0.35">
      <c r="D34" s="132"/>
    </row>
    <row r="35" spans="4:16" x14ac:dyDescent="0.3">
      <c r="D35" s="143" t="s">
        <v>119</v>
      </c>
      <c r="E35" s="144"/>
      <c r="F35" s="145"/>
      <c r="G35" s="144"/>
      <c r="H35" s="144"/>
      <c r="I35" s="144"/>
      <c r="J35" s="144"/>
      <c r="K35" s="144"/>
      <c r="L35" s="144"/>
      <c r="M35" s="144"/>
      <c r="N35" s="144"/>
      <c r="O35" s="144"/>
      <c r="P35" s="146"/>
    </row>
    <row r="36" spans="4:16" x14ac:dyDescent="0.3">
      <c r="D36" s="147" t="s">
        <v>138</v>
      </c>
      <c r="P36" s="148"/>
    </row>
    <row r="37" spans="4:16" x14ac:dyDescent="0.3">
      <c r="D37" s="147" t="s">
        <v>151</v>
      </c>
      <c r="P37" s="148"/>
    </row>
    <row r="38" spans="4:16" x14ac:dyDescent="0.3">
      <c r="D38" s="147"/>
      <c r="P38" s="148"/>
    </row>
    <row r="39" spans="4:16" x14ac:dyDescent="0.3">
      <c r="D39" s="149" t="s">
        <v>147</v>
      </c>
      <c r="E39" s="142" t="s">
        <v>148</v>
      </c>
      <c r="F39" s="150"/>
      <c r="G39" s="142"/>
      <c r="H39" s="142" t="s">
        <v>149</v>
      </c>
      <c r="I39" s="142"/>
      <c r="P39" s="148"/>
    </row>
    <row r="40" spans="4:16" x14ac:dyDescent="0.3">
      <c r="D40" s="147" t="s">
        <v>139</v>
      </c>
      <c r="E40" s="131" t="s">
        <v>142</v>
      </c>
      <c r="H40" s="131" t="s">
        <v>145</v>
      </c>
      <c r="P40" s="148"/>
    </row>
    <row r="41" spans="4:16" x14ac:dyDescent="0.3">
      <c r="D41" s="147"/>
      <c r="P41" s="148"/>
    </row>
    <row r="42" spans="4:16" x14ac:dyDescent="0.3">
      <c r="D42" s="147" t="s">
        <v>140</v>
      </c>
      <c r="E42" s="151" t="s">
        <v>144</v>
      </c>
      <c r="H42" s="131" t="s">
        <v>146</v>
      </c>
      <c r="P42" s="148"/>
    </row>
    <row r="43" spans="4:16" x14ac:dyDescent="0.3">
      <c r="D43" s="147"/>
      <c r="P43" s="148"/>
    </row>
    <row r="44" spans="4:16" ht="14.4" thickBot="1" x14ac:dyDescent="0.35">
      <c r="D44" s="152" t="s">
        <v>141</v>
      </c>
      <c r="E44" s="153" t="s">
        <v>143</v>
      </c>
      <c r="F44" s="154"/>
      <c r="G44" s="155"/>
      <c r="H44" s="155" t="s">
        <v>152</v>
      </c>
      <c r="I44" s="155"/>
      <c r="J44" s="155"/>
      <c r="K44" s="155"/>
      <c r="L44" s="155"/>
      <c r="M44" s="155"/>
      <c r="N44" s="155"/>
      <c r="O44" s="155"/>
      <c r="P44" s="156"/>
    </row>
    <row r="45" spans="4:16" x14ac:dyDescent="0.3">
      <c r="D45" s="132"/>
      <c r="E45" s="151"/>
    </row>
    <row r="46" spans="4:16" x14ac:dyDescent="0.3">
      <c r="D46" s="157" t="s">
        <v>65</v>
      </c>
    </row>
    <row r="47" spans="4:16" x14ac:dyDescent="0.3">
      <c r="D47" s="132" t="s">
        <v>126</v>
      </c>
      <c r="E47" s="132"/>
      <c r="F47" s="133"/>
      <c r="G47" s="132"/>
      <c r="H47" s="132"/>
    </row>
    <row r="48" spans="4:16" x14ac:dyDescent="0.3">
      <c r="D48" s="132" t="s">
        <v>127</v>
      </c>
      <c r="E48" s="132"/>
      <c r="F48" s="133"/>
      <c r="G48" s="132"/>
      <c r="H48" s="132"/>
    </row>
    <row r="49" spans="4:8" x14ac:dyDescent="0.3">
      <c r="D49" s="132" t="s">
        <v>128</v>
      </c>
      <c r="E49" s="132"/>
      <c r="F49" s="133"/>
      <c r="G49" s="132"/>
      <c r="H49" s="132"/>
    </row>
    <row r="50" spans="4:8" x14ac:dyDescent="0.3">
      <c r="D50" s="132" t="s">
        <v>177</v>
      </c>
    </row>
    <row r="51" spans="4:8" x14ac:dyDescent="0.3">
      <c r="D51" s="132" t="s">
        <v>129</v>
      </c>
    </row>
    <row r="52" spans="4:8" x14ac:dyDescent="0.3">
      <c r="D52" s="132"/>
    </row>
    <row r="53" spans="4:8" x14ac:dyDescent="0.3">
      <c r="D53" s="140" t="s">
        <v>116</v>
      </c>
    </row>
    <row r="54" spans="4:8" x14ac:dyDescent="0.3">
      <c r="D54" s="132" t="s">
        <v>107</v>
      </c>
    </row>
    <row r="55" spans="4:8" x14ac:dyDescent="0.3">
      <c r="D55" s="131" t="s">
        <v>108</v>
      </c>
    </row>
  </sheetData>
  <sheetProtection selectLockedCells="1" selectUnlockedCells="1"/>
  <mergeCells count="2">
    <mergeCell ref="D18:E18"/>
    <mergeCell ref="N6:S6"/>
  </mergeCells>
  <pageMargins left="0.75" right="0.75" top="1" bottom="1" header="0.5" footer="0.5"/>
  <pageSetup orientation="portrait" r:id="rId1"/>
  <headerFooter alignWithMargins="0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03A0F8-5168-4C1B-BDE4-24C5F0FD0B6E}">
  <dimension ref="C1:H22"/>
  <sheetViews>
    <sheetView workbookViewId="0">
      <selection activeCell="E13" sqref="E13:H13"/>
    </sheetView>
  </sheetViews>
  <sheetFormatPr defaultColWidth="9.109375" defaultRowHeight="14.4" x14ac:dyDescent="0.3"/>
  <cols>
    <col min="1" max="2" width="9.109375" style="200"/>
    <col min="3" max="3" width="24.5546875" style="200" customWidth="1"/>
    <col min="4" max="4" width="7.5546875" style="202" bestFit="1" customWidth="1"/>
    <col min="5" max="5" width="11.88671875" style="202" bestFit="1" customWidth="1"/>
    <col min="6" max="6" width="14.5546875" style="202" bestFit="1" customWidth="1"/>
    <col min="7" max="7" width="8.88671875" style="202" bestFit="1" customWidth="1"/>
    <col min="8" max="8" width="10.33203125" style="202" bestFit="1" customWidth="1"/>
    <col min="9" max="16384" width="9.109375" style="200"/>
  </cols>
  <sheetData>
    <row r="1" spans="3:8" x14ac:dyDescent="0.3">
      <c r="E1" s="202" t="s">
        <v>47</v>
      </c>
      <c r="F1" s="202" t="s">
        <v>100</v>
      </c>
      <c r="G1" s="202" t="s">
        <v>48</v>
      </c>
      <c r="H1" s="202" t="s">
        <v>49</v>
      </c>
    </row>
    <row r="2" spans="3:8" x14ac:dyDescent="0.3">
      <c r="C2" s="201">
        <v>2024</v>
      </c>
      <c r="D2" s="200"/>
      <c r="E2" s="204">
        <v>56</v>
      </c>
      <c r="F2" s="204">
        <v>57</v>
      </c>
      <c r="G2" s="204">
        <f>E2*1.065</f>
        <v>59.64</v>
      </c>
      <c r="H2" s="204">
        <f>E2*1.1</f>
        <v>61.600000000000009</v>
      </c>
    </row>
    <row r="3" spans="3:8" x14ac:dyDescent="0.3">
      <c r="D3" s="202" t="s">
        <v>46</v>
      </c>
    </row>
    <row r="4" spans="3:8" x14ac:dyDescent="0.3">
      <c r="C4" s="200" t="s">
        <v>41</v>
      </c>
      <c r="D4" s="203">
        <v>3</v>
      </c>
      <c r="E4" s="209">
        <f>ROUND($E$2*(D4/100),2)</f>
        <v>1.68</v>
      </c>
      <c r="F4" s="209">
        <f>ROUND($F$2*(D4/100),2)</f>
        <v>1.71</v>
      </c>
      <c r="G4" s="209">
        <f>ROUND($G$2*(D4/100),2)</f>
        <v>1.79</v>
      </c>
      <c r="H4" s="209">
        <f>ROUND($H$2*(D4/100),2)</f>
        <v>1.85</v>
      </c>
    </row>
    <row r="5" spans="3:8" x14ac:dyDescent="0.3">
      <c r="C5" s="200" t="s">
        <v>42</v>
      </c>
      <c r="D5" s="203">
        <v>8.93</v>
      </c>
      <c r="E5" s="209">
        <f t="shared" ref="E5:E9" si="0">ROUND($E$2*(D5/100),2)</f>
        <v>5</v>
      </c>
      <c r="F5" s="209">
        <f t="shared" ref="F5:F13" si="1">ROUND($F$2*(D5/100),2)</f>
        <v>5.09</v>
      </c>
      <c r="G5" s="209">
        <f>ROUND($G$2*(D5/100),2)</f>
        <v>5.33</v>
      </c>
      <c r="H5" s="209">
        <f t="shared" ref="H5:H9" si="2">ROUND($H$2*(D5/100),2)</f>
        <v>5.5</v>
      </c>
    </row>
    <row r="6" spans="3:8" x14ac:dyDescent="0.3">
      <c r="C6" s="200" t="s">
        <v>165</v>
      </c>
      <c r="D6" s="203">
        <v>12.39</v>
      </c>
      <c r="E6" s="209">
        <f t="shared" si="0"/>
        <v>6.94</v>
      </c>
      <c r="F6" s="209">
        <f t="shared" si="1"/>
        <v>7.06</v>
      </c>
      <c r="G6" s="209">
        <f>ROUND($G$2*(D6/100),2)</f>
        <v>7.39</v>
      </c>
      <c r="H6" s="209">
        <f t="shared" si="2"/>
        <v>7.63</v>
      </c>
    </row>
    <row r="7" spans="3:8" x14ac:dyDescent="0.3">
      <c r="C7" s="200" t="s">
        <v>180</v>
      </c>
      <c r="D7" s="203">
        <v>21.07</v>
      </c>
      <c r="E7" s="209">
        <f t="shared" si="0"/>
        <v>11.8</v>
      </c>
      <c r="F7" s="209">
        <f t="shared" si="1"/>
        <v>12.01</v>
      </c>
      <c r="G7" s="209">
        <f t="shared" ref="G7:G9" si="3">ROUND($G$2*(D7/100),2)</f>
        <v>12.57</v>
      </c>
      <c r="H7" s="209">
        <f t="shared" si="2"/>
        <v>12.98</v>
      </c>
    </row>
    <row r="8" spans="3:8" x14ac:dyDescent="0.3">
      <c r="C8" s="200" t="s">
        <v>45</v>
      </c>
      <c r="D8" s="203">
        <v>2.02</v>
      </c>
      <c r="E8" s="209">
        <f t="shared" si="0"/>
        <v>1.1299999999999999</v>
      </c>
      <c r="F8" s="209">
        <f t="shared" si="1"/>
        <v>1.1499999999999999</v>
      </c>
      <c r="G8" s="209">
        <f t="shared" si="3"/>
        <v>1.2</v>
      </c>
      <c r="H8" s="209">
        <f t="shared" si="2"/>
        <v>1.24</v>
      </c>
    </row>
    <row r="9" spans="3:8" x14ac:dyDescent="0.3">
      <c r="C9" s="200" t="s">
        <v>56</v>
      </c>
      <c r="D9" s="203">
        <v>0.16</v>
      </c>
      <c r="E9" s="209">
        <f t="shared" si="0"/>
        <v>0.09</v>
      </c>
      <c r="F9" s="209">
        <f t="shared" si="1"/>
        <v>0.09</v>
      </c>
      <c r="G9" s="209">
        <f t="shared" si="3"/>
        <v>0.1</v>
      </c>
      <c r="H9" s="209">
        <f t="shared" si="2"/>
        <v>0.1</v>
      </c>
    </row>
    <row r="10" spans="3:8" x14ac:dyDescent="0.3">
      <c r="C10" s="200" t="s">
        <v>164</v>
      </c>
      <c r="D10" s="204">
        <v>0.01</v>
      </c>
      <c r="E10" s="209">
        <f>D10</f>
        <v>0.01</v>
      </c>
      <c r="F10" s="209">
        <f>D10</f>
        <v>0.01</v>
      </c>
      <c r="G10" s="209">
        <f>D10</f>
        <v>0.01</v>
      </c>
      <c r="H10" s="209">
        <f>D10</f>
        <v>0.01</v>
      </c>
    </row>
    <row r="11" spans="3:8" x14ac:dyDescent="0.3">
      <c r="C11" s="200" t="s">
        <v>50</v>
      </c>
      <c r="D11" s="205"/>
      <c r="E11" s="209">
        <f>SUM(E4:E10)</f>
        <v>26.650000000000002</v>
      </c>
      <c r="F11" s="209">
        <f t="shared" ref="F11:H11" si="4">SUM(F4:F10)</f>
        <v>27.119999999999997</v>
      </c>
      <c r="G11" s="209">
        <f t="shared" si="4"/>
        <v>28.39</v>
      </c>
      <c r="H11" s="209">
        <f t="shared" si="4"/>
        <v>29.310000000000002</v>
      </c>
    </row>
    <row r="12" spans="3:8" x14ac:dyDescent="0.3">
      <c r="D12" s="206"/>
      <c r="E12" s="210"/>
      <c r="F12" s="210"/>
      <c r="G12" s="210"/>
      <c r="H12" s="210"/>
    </row>
    <row r="13" spans="3:8" x14ac:dyDescent="0.3">
      <c r="C13" s="200" t="s">
        <v>167</v>
      </c>
      <c r="D13" s="203">
        <v>14</v>
      </c>
      <c r="E13" s="209">
        <f>ROUND($E$2*($D13/100),2)</f>
        <v>7.84</v>
      </c>
      <c r="F13" s="209">
        <f t="shared" si="1"/>
        <v>7.98</v>
      </c>
      <c r="G13" s="209">
        <f>$G$2*(D13/100)</f>
        <v>8.3496000000000006</v>
      </c>
      <c r="H13" s="209">
        <f>$H$2*(D13/100)</f>
        <v>8.6240000000000023</v>
      </c>
    </row>
    <row r="14" spans="3:8" x14ac:dyDescent="0.3">
      <c r="C14" s="200" t="s">
        <v>171</v>
      </c>
      <c r="D14" s="207"/>
      <c r="E14" s="209">
        <f>ROUND(E11+E13,2)</f>
        <v>34.49</v>
      </c>
      <c r="F14" s="209">
        <f>ROUND(F11+F13,2)</f>
        <v>35.1</v>
      </c>
      <c r="G14" s="209">
        <f>G11+G13</f>
        <v>36.739600000000003</v>
      </c>
      <c r="H14" s="209">
        <f>H11+H13</f>
        <v>37.934000000000005</v>
      </c>
    </row>
    <row r="15" spans="3:8" x14ac:dyDescent="0.3">
      <c r="C15" s="200" t="s">
        <v>172</v>
      </c>
      <c r="E15" s="209">
        <f>E2+E14</f>
        <v>90.490000000000009</v>
      </c>
      <c r="F15" s="209">
        <f t="shared" ref="F15:H15" si="5">F2+F14</f>
        <v>92.1</v>
      </c>
      <c r="G15" s="209">
        <f t="shared" si="5"/>
        <v>96.379600000000011</v>
      </c>
      <c r="H15" s="209">
        <f t="shared" si="5"/>
        <v>99.53400000000002</v>
      </c>
    </row>
    <row r="16" spans="3:8" x14ac:dyDescent="0.3">
      <c r="C16" s="200" t="s">
        <v>57</v>
      </c>
    </row>
    <row r="18" spans="4:5" x14ac:dyDescent="0.3">
      <c r="D18" s="208"/>
    </row>
    <row r="19" spans="4:5" x14ac:dyDescent="0.3">
      <c r="E19" s="210"/>
    </row>
    <row r="20" spans="4:5" x14ac:dyDescent="0.3">
      <c r="D20" s="211"/>
    </row>
    <row r="22" spans="4:5" x14ac:dyDescent="0.3">
      <c r="D22" s="211"/>
    </row>
  </sheetData>
  <pageMargins left="0.75" right="0.75" top="1" bottom="1" header="0.5" footer="0.5"/>
  <pageSetup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89CBE1-3281-4759-9100-A00CF0753061}">
  <dimension ref="A1:V44"/>
  <sheetViews>
    <sheetView showGridLines="0" tabSelected="1" workbookViewId="0"/>
  </sheetViews>
  <sheetFormatPr defaultColWidth="9.109375" defaultRowHeight="13.8" x14ac:dyDescent="0.3"/>
  <cols>
    <col min="1" max="3" width="9.109375" style="131"/>
    <col min="4" max="4" width="31.109375" style="131" customWidth="1"/>
    <col min="5" max="5" width="2.5546875" style="131" bestFit="1" customWidth="1"/>
    <col min="6" max="11" width="8.6640625" style="131" customWidth="1"/>
    <col min="12" max="12" width="9.88671875" style="131" customWidth="1"/>
    <col min="13" max="13" width="10.44140625" style="131" customWidth="1"/>
    <col min="14" max="14" width="2.109375" style="131" customWidth="1"/>
    <col min="15" max="15" width="14" style="131" hidden="1" customWidth="1"/>
    <col min="16" max="16" width="13.109375" style="131" hidden="1" customWidth="1"/>
    <col min="17" max="17" width="0" style="131" hidden="1" customWidth="1"/>
    <col min="18" max="18" width="15.33203125" style="131" hidden="1" customWidth="1"/>
    <col min="19" max="21" width="0" style="131" hidden="1" customWidth="1"/>
    <col min="22" max="16384" width="9.109375" style="131"/>
  </cols>
  <sheetData>
    <row r="1" spans="1:22" ht="15.6" x14ac:dyDescent="0.3">
      <c r="A1" s="126" t="s">
        <v>181</v>
      </c>
      <c r="B1" s="136"/>
      <c r="C1" s="136"/>
      <c r="D1" s="140"/>
      <c r="E1" s="136"/>
      <c r="F1" s="136"/>
      <c r="G1" s="161"/>
      <c r="H1" s="161"/>
      <c r="I1" s="161"/>
      <c r="J1" s="161"/>
      <c r="K1" s="161"/>
      <c r="L1" s="161"/>
      <c r="M1" s="161"/>
      <c r="O1"/>
      <c r="P1" s="142"/>
      <c r="Q1" s="142"/>
    </row>
    <row r="2" spans="1:22" x14ac:dyDescent="0.3">
      <c r="A2" s="140"/>
      <c r="B2" s="136"/>
      <c r="C2" s="136"/>
      <c r="D2" s="140"/>
      <c r="E2" s="136"/>
      <c r="F2" s="136"/>
      <c r="G2" s="161"/>
      <c r="H2" s="161"/>
      <c r="I2" s="161"/>
      <c r="J2" s="161"/>
      <c r="K2" s="161"/>
      <c r="L2" s="161"/>
      <c r="M2" s="161"/>
    </row>
    <row r="3" spans="1:22" ht="41.4" x14ac:dyDescent="0.3">
      <c r="A3" s="140"/>
      <c r="B3" s="136"/>
      <c r="C3" s="136"/>
      <c r="D3" s="140"/>
      <c r="E3" s="136"/>
      <c r="F3" s="163" t="s">
        <v>115</v>
      </c>
      <c r="G3" s="136" t="s">
        <v>2</v>
      </c>
      <c r="H3" s="136" t="s">
        <v>3</v>
      </c>
      <c r="I3" s="163" t="s">
        <v>136</v>
      </c>
      <c r="J3" s="161" t="s">
        <v>135</v>
      </c>
      <c r="K3" s="161" t="s">
        <v>135</v>
      </c>
      <c r="L3" s="161"/>
      <c r="M3" s="161"/>
      <c r="O3" s="162" t="s">
        <v>62</v>
      </c>
      <c r="P3" s="162" t="s">
        <v>42</v>
      </c>
      <c r="Q3" s="162" t="s">
        <v>41</v>
      </c>
      <c r="R3" s="162" t="s">
        <v>63</v>
      </c>
      <c r="S3" s="162" t="s">
        <v>56</v>
      </c>
      <c r="T3" s="162" t="s">
        <v>164</v>
      </c>
      <c r="U3" s="162" t="s">
        <v>45</v>
      </c>
    </row>
    <row r="4" spans="1:22" x14ac:dyDescent="0.3">
      <c r="A4" s="195" t="s">
        <v>5</v>
      </c>
      <c r="B4" s="193" t="s">
        <v>6</v>
      </c>
      <c r="C4" s="193" t="s">
        <v>7</v>
      </c>
      <c r="D4" s="195" t="s">
        <v>125</v>
      </c>
      <c r="E4" s="193" t="s">
        <v>9</v>
      </c>
      <c r="F4" s="193" t="s">
        <v>114</v>
      </c>
      <c r="G4" s="193" t="s">
        <v>178</v>
      </c>
      <c r="H4" s="193" t="s">
        <v>11</v>
      </c>
      <c r="I4" s="196" t="s">
        <v>12</v>
      </c>
      <c r="J4" s="196" t="s">
        <v>4</v>
      </c>
      <c r="K4" s="196" t="s">
        <v>134</v>
      </c>
      <c r="L4" s="196" t="s">
        <v>154</v>
      </c>
      <c r="M4" s="196" t="s">
        <v>141</v>
      </c>
      <c r="O4" s="214">
        <f>'2024 calcs'!D7/100</f>
        <v>0.2107</v>
      </c>
      <c r="P4" s="214">
        <f>'2024 calcs'!D5/100</f>
        <v>8.929999999999999E-2</v>
      </c>
      <c r="Q4" s="214">
        <f>'2024 calcs'!D4/100</f>
        <v>0.03</v>
      </c>
      <c r="R4" s="214">
        <f>'2024 calcs'!D6/100</f>
        <v>0.12390000000000001</v>
      </c>
      <c r="S4" s="214">
        <f>'2024 calcs'!D9/100</f>
        <v>1.6000000000000001E-3</v>
      </c>
      <c r="T4" s="215">
        <f>'2024 calcs'!D10</f>
        <v>0.01</v>
      </c>
      <c r="U4" s="214">
        <f>'2024 calcs'!D8/100</f>
        <v>2.0199999999999999E-2</v>
      </c>
    </row>
    <row r="5" spans="1:22" x14ac:dyDescent="0.3">
      <c r="A5" s="165"/>
      <c r="B5" s="129"/>
      <c r="C5" s="138"/>
      <c r="D5" s="165"/>
      <c r="E5" s="129"/>
      <c r="F5" s="129"/>
      <c r="G5" s="138"/>
      <c r="H5" s="138"/>
      <c r="I5" s="138"/>
      <c r="J5" s="138" t="s">
        <v>13</v>
      </c>
      <c r="K5" s="138" t="s">
        <v>13</v>
      </c>
      <c r="L5" s="138"/>
      <c r="M5" s="138"/>
      <c r="O5" s="162"/>
      <c r="P5" s="162"/>
      <c r="Q5" s="162"/>
      <c r="R5" s="162"/>
      <c r="S5" s="162"/>
      <c r="T5" s="162"/>
      <c r="U5" s="162"/>
    </row>
    <row r="6" spans="1:22" x14ac:dyDescent="0.3">
      <c r="A6" s="132" t="s">
        <v>14</v>
      </c>
      <c r="B6" s="129">
        <v>2</v>
      </c>
      <c r="C6" s="129" t="s">
        <v>15</v>
      </c>
      <c r="D6" s="132" t="s">
        <v>16</v>
      </c>
      <c r="E6" s="129" t="s">
        <v>17</v>
      </c>
      <c r="F6" s="188">
        <f>G6+H6</f>
        <v>63.84</v>
      </c>
      <c r="G6" s="188">
        <f>'2024 calcs'!E2</f>
        <v>56</v>
      </c>
      <c r="H6" s="188">
        <f>'2024 calcs'!E13</f>
        <v>7.84</v>
      </c>
      <c r="I6" s="188">
        <f>'2024 calcs'!E11</f>
        <v>26.650000000000002</v>
      </c>
      <c r="J6" s="188">
        <f>I6+H6</f>
        <v>34.49</v>
      </c>
      <c r="K6" s="188">
        <f>J6+G6</f>
        <v>90.490000000000009</v>
      </c>
      <c r="L6" s="188">
        <f>G6*0.1</f>
        <v>5.6000000000000005</v>
      </c>
      <c r="M6" s="188">
        <f>G6*0.15</f>
        <v>8.4</v>
      </c>
      <c r="N6" s="166"/>
      <c r="O6" s="197">
        <f>O4*$G$6</f>
        <v>11.799199999999999</v>
      </c>
      <c r="P6" s="197">
        <f>P4*$G$6</f>
        <v>5.0007999999999999</v>
      </c>
      <c r="Q6" s="197">
        <f>Q4*$G$6</f>
        <v>1.68</v>
      </c>
      <c r="R6" s="197">
        <f>R4*$G$6</f>
        <v>6.9384000000000006</v>
      </c>
      <c r="S6" s="197">
        <f>S4*$G$6</f>
        <v>8.9599999999999999E-2</v>
      </c>
      <c r="T6" s="197">
        <f>$T$4</f>
        <v>0.01</v>
      </c>
      <c r="U6" s="197">
        <f>U4*$G$6</f>
        <v>1.1312</v>
      </c>
      <c r="V6" s="167"/>
    </row>
    <row r="7" spans="1:22" x14ac:dyDescent="0.3">
      <c r="A7" s="132" t="s">
        <v>14</v>
      </c>
      <c r="B7" s="129">
        <v>2</v>
      </c>
      <c r="C7" s="129" t="s">
        <v>18</v>
      </c>
      <c r="D7" s="132" t="s">
        <v>19</v>
      </c>
      <c r="E7" s="129" t="s">
        <v>17</v>
      </c>
      <c r="F7" s="188">
        <f t="shared" ref="F7:F9" si="0">G7+H7</f>
        <v>67.989599999999996</v>
      </c>
      <c r="G7" s="188">
        <f>'2024 calcs'!G2</f>
        <v>59.64</v>
      </c>
      <c r="H7" s="188">
        <f>'2024 calcs'!G13</f>
        <v>8.3496000000000006</v>
      </c>
      <c r="I7" s="188">
        <f>'2024 calcs'!G11</f>
        <v>28.39</v>
      </c>
      <c r="J7" s="188">
        <f>I7+H7</f>
        <v>36.739600000000003</v>
      </c>
      <c r="K7" s="188">
        <f>J7+G7</f>
        <v>96.379600000000011</v>
      </c>
      <c r="L7" s="188">
        <f t="shared" ref="L7:L9" si="1">G7*0.1</f>
        <v>5.9640000000000004</v>
      </c>
      <c r="M7" s="188">
        <f t="shared" ref="M7:M9" si="2">G7*0.15</f>
        <v>8.9459999999999997</v>
      </c>
      <c r="O7" s="197">
        <f>O4*$G$7</f>
        <v>12.566148</v>
      </c>
      <c r="P7" s="197">
        <f>P4*$G$7</f>
        <v>5.3258519999999994</v>
      </c>
      <c r="Q7" s="197">
        <f>Q4*$G$7</f>
        <v>1.7891999999999999</v>
      </c>
      <c r="R7" s="197">
        <f>R4*$G$7</f>
        <v>7.3893960000000005</v>
      </c>
      <c r="S7" s="197">
        <f>S4*$G$7</f>
        <v>9.5424000000000009E-2</v>
      </c>
      <c r="T7" s="197">
        <f>$T$4</f>
        <v>0.01</v>
      </c>
      <c r="U7" s="197">
        <f>U4*$G$7</f>
        <v>1.204728</v>
      </c>
      <c r="V7" s="167"/>
    </row>
    <row r="8" spans="1:22" x14ac:dyDescent="0.3">
      <c r="A8" s="132" t="s">
        <v>14</v>
      </c>
      <c r="B8" s="129">
        <v>2</v>
      </c>
      <c r="C8" s="129" t="s">
        <v>20</v>
      </c>
      <c r="D8" s="132" t="s">
        <v>21</v>
      </c>
      <c r="E8" s="129" t="s">
        <v>17</v>
      </c>
      <c r="F8" s="188">
        <f t="shared" si="0"/>
        <v>70.224000000000018</v>
      </c>
      <c r="G8" s="188">
        <f>'2024 calcs'!H2</f>
        <v>61.600000000000009</v>
      </c>
      <c r="H8" s="188">
        <f>'2024 calcs'!H13</f>
        <v>8.6240000000000023</v>
      </c>
      <c r="I8" s="188">
        <f>'2024 calcs'!H11</f>
        <v>29.310000000000002</v>
      </c>
      <c r="J8" s="188">
        <f>I8+H8</f>
        <v>37.934000000000005</v>
      </c>
      <c r="K8" s="188">
        <f>J8+G8</f>
        <v>99.53400000000002</v>
      </c>
      <c r="L8" s="188">
        <f t="shared" si="1"/>
        <v>6.160000000000001</v>
      </c>
      <c r="M8" s="188">
        <f t="shared" si="2"/>
        <v>9.24</v>
      </c>
      <c r="O8" s="197">
        <f>O4*$G$8</f>
        <v>12.979120000000002</v>
      </c>
      <c r="P8" s="197">
        <f>P4*$G$8</f>
        <v>5.5008800000000004</v>
      </c>
      <c r="Q8" s="197">
        <f>Q4*$G$8</f>
        <v>1.8480000000000001</v>
      </c>
      <c r="R8" s="197">
        <f>R4*$G$8</f>
        <v>7.6322400000000012</v>
      </c>
      <c r="S8" s="197">
        <f>S4*$G$8</f>
        <v>9.8560000000000023E-2</v>
      </c>
      <c r="T8" s="197">
        <f>$T$4</f>
        <v>0.01</v>
      </c>
      <c r="U8" s="197">
        <f>U4*$G$8</f>
        <v>1.2443200000000001</v>
      </c>
      <c r="V8" s="167"/>
    </row>
    <row r="9" spans="1:22" x14ac:dyDescent="0.3">
      <c r="A9" s="132" t="s">
        <v>14</v>
      </c>
      <c r="B9" s="129">
        <v>2</v>
      </c>
      <c r="C9" s="129" t="s">
        <v>104</v>
      </c>
      <c r="D9" s="132" t="s">
        <v>101</v>
      </c>
      <c r="E9" s="129" t="s">
        <v>17</v>
      </c>
      <c r="F9" s="188">
        <f t="shared" si="0"/>
        <v>64.98</v>
      </c>
      <c r="G9" s="188">
        <f>'2024 calcs'!F2</f>
        <v>57</v>
      </c>
      <c r="H9" s="188">
        <f>'2024 calcs'!F13</f>
        <v>7.98</v>
      </c>
      <c r="I9" s="188">
        <f>'2024 calcs'!F11</f>
        <v>27.119999999999997</v>
      </c>
      <c r="J9" s="188">
        <f>I9+H9</f>
        <v>35.099999999999994</v>
      </c>
      <c r="K9" s="188">
        <f>J9+G9</f>
        <v>92.1</v>
      </c>
      <c r="L9" s="188">
        <f t="shared" si="1"/>
        <v>5.7</v>
      </c>
      <c r="M9" s="188">
        <f t="shared" si="2"/>
        <v>8.5499999999999989</v>
      </c>
      <c r="O9" s="197">
        <f>O4*$G$9</f>
        <v>12.0099</v>
      </c>
      <c r="P9" s="197">
        <f>P4*$G$9</f>
        <v>5.0900999999999996</v>
      </c>
      <c r="Q9" s="197">
        <f>Q4*$G$9</f>
        <v>1.71</v>
      </c>
      <c r="R9" s="197">
        <f>R4*$G$9</f>
        <v>7.0623000000000005</v>
      </c>
      <c r="S9" s="197">
        <f>S4*$G$9</f>
        <v>9.1200000000000003E-2</v>
      </c>
      <c r="T9" s="197">
        <f>$T$4</f>
        <v>0.01</v>
      </c>
      <c r="U9" s="197">
        <f>U4*$G$9</f>
        <v>1.1514</v>
      </c>
      <c r="V9" s="167"/>
    </row>
    <row r="10" spans="1:22" x14ac:dyDescent="0.3">
      <c r="A10" s="132"/>
      <c r="B10" s="129"/>
      <c r="C10" s="129"/>
      <c r="D10" s="132"/>
      <c r="E10" s="129"/>
      <c r="F10" s="188"/>
      <c r="G10" s="188"/>
      <c r="H10" s="188"/>
      <c r="I10" s="188"/>
      <c r="J10" s="188"/>
      <c r="K10" s="188"/>
      <c r="L10" s="188"/>
      <c r="M10" s="188"/>
      <c r="O10" s="162"/>
      <c r="P10" s="162"/>
      <c r="Q10" s="162"/>
      <c r="R10" s="162"/>
      <c r="S10" s="162"/>
      <c r="T10" s="162"/>
      <c r="U10" s="162"/>
    </row>
    <row r="11" spans="1:22" x14ac:dyDescent="0.3">
      <c r="A11" s="134"/>
      <c r="B11" s="140" t="s">
        <v>22</v>
      </c>
      <c r="C11" s="136"/>
      <c r="D11" s="132"/>
      <c r="E11" s="129"/>
      <c r="F11" s="188"/>
      <c r="G11" s="188"/>
      <c r="H11" s="188"/>
      <c r="I11" s="188"/>
      <c r="J11" s="188"/>
      <c r="K11" s="188"/>
      <c r="L11" s="188"/>
      <c r="M11" s="188"/>
      <c r="O11" s="162" t="s">
        <v>109</v>
      </c>
      <c r="P11" s="162"/>
      <c r="Q11" s="162"/>
      <c r="R11" s="162"/>
      <c r="S11" s="162"/>
      <c r="T11" s="162"/>
      <c r="U11" s="162"/>
    </row>
    <row r="12" spans="1:22" x14ac:dyDescent="0.3">
      <c r="A12" s="132" t="s">
        <v>14</v>
      </c>
      <c r="B12" s="129">
        <v>2</v>
      </c>
      <c r="C12" s="129" t="s">
        <v>15</v>
      </c>
      <c r="D12" s="132" t="s">
        <v>16</v>
      </c>
      <c r="E12" s="129" t="s">
        <v>17</v>
      </c>
      <c r="F12" s="188">
        <f t="shared" ref="F12:H15" si="3">F6*1.5</f>
        <v>95.76</v>
      </c>
      <c r="G12" s="188">
        <f t="shared" si="3"/>
        <v>84</v>
      </c>
      <c r="H12" s="188">
        <f t="shared" si="3"/>
        <v>11.76</v>
      </c>
      <c r="I12" s="188">
        <f>(P12+Q12+R12+S12+T12+U12+O12)</f>
        <v>34.074200000000005</v>
      </c>
      <c r="J12" s="188">
        <f>I12+H12</f>
        <v>45.834200000000003</v>
      </c>
      <c r="K12" s="188">
        <f>J12+G12</f>
        <v>129.83420000000001</v>
      </c>
      <c r="L12" s="188"/>
      <c r="M12" s="188"/>
      <c r="O12" s="197">
        <f>O6</f>
        <v>11.799199999999999</v>
      </c>
      <c r="P12" s="197">
        <f t="shared" ref="P12:U15" si="4">P6*1.5</f>
        <v>7.5011999999999999</v>
      </c>
      <c r="Q12" s="197">
        <f t="shared" si="4"/>
        <v>2.52</v>
      </c>
      <c r="R12" s="197">
        <f t="shared" si="4"/>
        <v>10.4076</v>
      </c>
      <c r="S12" s="197">
        <f t="shared" si="4"/>
        <v>0.13439999999999999</v>
      </c>
      <c r="T12" s="197">
        <f t="shared" si="4"/>
        <v>1.4999999999999999E-2</v>
      </c>
      <c r="U12" s="197">
        <f t="shared" si="4"/>
        <v>1.6968000000000001</v>
      </c>
      <c r="V12" s="167"/>
    </row>
    <row r="13" spans="1:22" x14ac:dyDescent="0.3">
      <c r="A13" s="132" t="s">
        <v>14</v>
      </c>
      <c r="B13" s="129">
        <v>2</v>
      </c>
      <c r="C13" s="129" t="s">
        <v>18</v>
      </c>
      <c r="D13" s="132" t="s">
        <v>23</v>
      </c>
      <c r="E13" s="129" t="s">
        <v>17</v>
      </c>
      <c r="F13" s="188">
        <f t="shared" si="3"/>
        <v>101.98439999999999</v>
      </c>
      <c r="G13" s="188">
        <f t="shared" si="3"/>
        <v>89.460000000000008</v>
      </c>
      <c r="H13" s="188">
        <f t="shared" si="3"/>
        <v>12.5244</v>
      </c>
      <c r="I13" s="188">
        <f t="shared" ref="I13:I15" si="5">(P13+Q13+R13+S13+T13+U13+O13)</f>
        <v>36.288047999999996</v>
      </c>
      <c r="J13" s="188">
        <f>I13+H13</f>
        <v>48.812447999999996</v>
      </c>
      <c r="K13" s="188">
        <f>J13+G13</f>
        <v>138.272448</v>
      </c>
      <c r="L13" s="188"/>
      <c r="M13" s="188"/>
      <c r="O13" s="197">
        <f t="shared" ref="O13:O15" si="6">O7</f>
        <v>12.566148</v>
      </c>
      <c r="P13" s="197">
        <f t="shared" si="4"/>
        <v>7.988777999999999</v>
      </c>
      <c r="Q13" s="197">
        <f t="shared" si="4"/>
        <v>2.6837999999999997</v>
      </c>
      <c r="R13" s="197">
        <f t="shared" si="4"/>
        <v>11.084094</v>
      </c>
      <c r="S13" s="197">
        <f t="shared" si="4"/>
        <v>0.14313600000000001</v>
      </c>
      <c r="T13" s="197">
        <f t="shared" si="4"/>
        <v>1.4999999999999999E-2</v>
      </c>
      <c r="U13" s="197">
        <f t="shared" si="4"/>
        <v>1.8070919999999999</v>
      </c>
      <c r="V13" s="167"/>
    </row>
    <row r="14" spans="1:22" x14ac:dyDescent="0.3">
      <c r="A14" s="132" t="s">
        <v>14</v>
      </c>
      <c r="B14" s="129">
        <v>2</v>
      </c>
      <c r="C14" s="129" t="s">
        <v>20</v>
      </c>
      <c r="D14" s="132" t="s">
        <v>21</v>
      </c>
      <c r="E14" s="129" t="s">
        <v>17</v>
      </c>
      <c r="F14" s="188">
        <f t="shared" si="3"/>
        <v>105.33600000000003</v>
      </c>
      <c r="G14" s="188">
        <f t="shared" si="3"/>
        <v>92.4</v>
      </c>
      <c r="H14" s="188">
        <f t="shared" si="3"/>
        <v>12.936000000000003</v>
      </c>
      <c r="I14" s="188">
        <f t="shared" si="5"/>
        <v>37.480119999999999</v>
      </c>
      <c r="J14" s="188">
        <f>I14+H14</f>
        <v>50.416120000000006</v>
      </c>
      <c r="K14" s="188">
        <f>J14+G14</f>
        <v>142.81612000000001</v>
      </c>
      <c r="L14" s="188"/>
      <c r="M14" s="188"/>
      <c r="O14" s="197">
        <f t="shared" si="6"/>
        <v>12.979120000000002</v>
      </c>
      <c r="P14" s="197">
        <f t="shared" si="4"/>
        <v>8.2513199999999998</v>
      </c>
      <c r="Q14" s="197">
        <f t="shared" si="4"/>
        <v>2.7720000000000002</v>
      </c>
      <c r="R14" s="197">
        <f t="shared" si="4"/>
        <v>11.448360000000001</v>
      </c>
      <c r="S14" s="197">
        <f t="shared" si="4"/>
        <v>0.14784000000000003</v>
      </c>
      <c r="T14" s="197">
        <f t="shared" si="4"/>
        <v>1.4999999999999999E-2</v>
      </c>
      <c r="U14" s="197">
        <f t="shared" si="4"/>
        <v>1.8664800000000001</v>
      </c>
      <c r="V14" s="167"/>
    </row>
    <row r="15" spans="1:22" x14ac:dyDescent="0.3">
      <c r="A15" s="132" t="s">
        <v>14</v>
      </c>
      <c r="B15" s="129">
        <v>2</v>
      </c>
      <c r="C15" s="129" t="s">
        <v>104</v>
      </c>
      <c r="D15" s="132" t="s">
        <v>101</v>
      </c>
      <c r="E15" s="129" t="s">
        <v>17</v>
      </c>
      <c r="F15" s="188">
        <f t="shared" si="3"/>
        <v>97.47</v>
      </c>
      <c r="G15" s="188">
        <f t="shared" si="3"/>
        <v>85.5</v>
      </c>
      <c r="H15" s="188">
        <f t="shared" si="3"/>
        <v>11.97</v>
      </c>
      <c r="I15" s="188">
        <f t="shared" si="5"/>
        <v>34.682400000000001</v>
      </c>
      <c r="J15" s="188">
        <f>I15+H15</f>
        <v>46.6524</v>
      </c>
      <c r="K15" s="188">
        <f>J15+G15</f>
        <v>132.1524</v>
      </c>
      <c r="L15" s="188"/>
      <c r="M15" s="188"/>
      <c r="O15" s="197">
        <f t="shared" si="6"/>
        <v>12.0099</v>
      </c>
      <c r="P15" s="197">
        <f t="shared" si="4"/>
        <v>7.6351499999999994</v>
      </c>
      <c r="Q15" s="197">
        <f t="shared" si="4"/>
        <v>2.5649999999999999</v>
      </c>
      <c r="R15" s="197">
        <f t="shared" si="4"/>
        <v>10.593450000000001</v>
      </c>
      <c r="S15" s="197">
        <f t="shared" si="4"/>
        <v>0.1368</v>
      </c>
      <c r="T15" s="197">
        <f t="shared" si="4"/>
        <v>1.4999999999999999E-2</v>
      </c>
      <c r="U15" s="197">
        <f t="shared" si="4"/>
        <v>1.7271000000000001</v>
      </c>
      <c r="V15" s="167"/>
    </row>
    <row r="16" spans="1:22" x14ac:dyDescent="0.3">
      <c r="A16" s="158"/>
      <c r="B16" s="159"/>
      <c r="C16" s="159"/>
      <c r="D16" s="158"/>
      <c r="E16" s="159"/>
      <c r="F16" s="159"/>
      <c r="G16" s="160"/>
      <c r="H16" s="160"/>
      <c r="I16" s="160"/>
      <c r="J16" s="160"/>
      <c r="K16" s="160"/>
      <c r="L16" s="160"/>
      <c r="M16" s="160"/>
    </row>
    <row r="17" spans="1:13" x14ac:dyDescent="0.3">
      <c r="A17" s="158"/>
      <c r="B17" s="140" t="s">
        <v>121</v>
      </c>
      <c r="C17" s="159"/>
      <c r="D17" s="158"/>
      <c r="E17" s="159"/>
      <c r="F17" s="159"/>
      <c r="G17" s="160"/>
      <c r="H17" s="160"/>
      <c r="I17" s="160"/>
      <c r="J17" s="160"/>
      <c r="K17" s="160"/>
      <c r="L17" s="160"/>
      <c r="M17" s="160"/>
    </row>
    <row r="18" spans="1:13" x14ac:dyDescent="0.3">
      <c r="A18" s="158"/>
      <c r="B18" s="132" t="s">
        <v>179</v>
      </c>
      <c r="C18" s="159"/>
      <c r="D18" s="158"/>
      <c r="E18" s="159"/>
      <c r="F18" s="159"/>
      <c r="G18" s="160"/>
      <c r="H18" s="160"/>
      <c r="I18" s="160"/>
      <c r="J18" s="160"/>
      <c r="K18" s="160"/>
      <c r="L18" s="160"/>
      <c r="M18" s="160"/>
    </row>
    <row r="19" spans="1:13" x14ac:dyDescent="0.3">
      <c r="A19" s="158"/>
      <c r="B19" s="129"/>
      <c r="C19" s="159"/>
      <c r="D19" s="158"/>
      <c r="E19" s="159"/>
      <c r="F19" s="159"/>
      <c r="G19" s="160"/>
      <c r="H19" s="160"/>
      <c r="I19" s="160"/>
      <c r="J19" s="160"/>
      <c r="K19" s="160"/>
      <c r="L19" s="160"/>
      <c r="M19" s="160"/>
    </row>
    <row r="20" spans="1:13" x14ac:dyDescent="0.3">
      <c r="A20" s="158"/>
      <c r="B20" s="140" t="s">
        <v>120</v>
      </c>
      <c r="C20" s="159"/>
      <c r="D20" s="158"/>
      <c r="E20" s="159"/>
      <c r="F20" s="159"/>
      <c r="G20" s="160"/>
      <c r="H20" s="160"/>
      <c r="I20" s="160"/>
      <c r="J20" s="160"/>
      <c r="K20" s="160"/>
      <c r="L20" s="160"/>
      <c r="M20" s="160"/>
    </row>
    <row r="21" spans="1:13" x14ac:dyDescent="0.3">
      <c r="A21" s="168"/>
      <c r="B21" s="132" t="s">
        <v>117</v>
      </c>
      <c r="C21" s="159"/>
      <c r="E21" s="159"/>
      <c r="F21" s="159"/>
      <c r="G21" s="159"/>
      <c r="H21" s="159"/>
      <c r="I21" s="160"/>
      <c r="J21" s="160"/>
      <c r="K21" s="160"/>
      <c r="L21" s="160"/>
      <c r="M21" s="160"/>
    </row>
    <row r="22" spans="1:13" x14ac:dyDescent="0.3">
      <c r="A22" s="168"/>
      <c r="B22" s="132" t="s">
        <v>118</v>
      </c>
      <c r="C22" s="159"/>
      <c r="E22" s="159"/>
      <c r="F22" s="159"/>
      <c r="G22" s="159"/>
      <c r="H22" s="159"/>
      <c r="I22" s="160"/>
      <c r="J22" s="160"/>
      <c r="K22" s="160"/>
      <c r="L22" s="160"/>
      <c r="M22" s="160"/>
    </row>
    <row r="23" spans="1:13" x14ac:dyDescent="0.3">
      <c r="A23" s="168"/>
      <c r="B23" s="129"/>
      <c r="C23" s="168"/>
      <c r="D23" s="168"/>
      <c r="E23" s="169"/>
      <c r="F23" s="169"/>
      <c r="G23" s="168"/>
      <c r="H23" s="168"/>
      <c r="I23" s="169"/>
      <c r="J23" s="169"/>
      <c r="K23" s="169"/>
      <c r="L23" s="169"/>
      <c r="M23" s="169"/>
    </row>
    <row r="24" spans="1:13" x14ac:dyDescent="0.3">
      <c r="B24" s="157" t="s">
        <v>65</v>
      </c>
      <c r="C24" s="159"/>
    </row>
    <row r="25" spans="1:13" x14ac:dyDescent="0.3">
      <c r="B25" s="132" t="s">
        <v>126</v>
      </c>
      <c r="C25" s="132"/>
      <c r="D25" s="132"/>
      <c r="E25" s="132"/>
      <c r="F25" s="132"/>
    </row>
    <row r="26" spans="1:13" x14ac:dyDescent="0.3">
      <c r="B26" s="132" t="s">
        <v>127</v>
      </c>
      <c r="C26" s="132"/>
      <c r="D26" s="132"/>
      <c r="E26" s="132"/>
      <c r="F26" s="132"/>
    </row>
    <row r="27" spans="1:13" x14ac:dyDescent="0.3">
      <c r="B27" s="132" t="s">
        <v>128</v>
      </c>
      <c r="C27" s="132"/>
      <c r="D27" s="132"/>
      <c r="E27" s="132"/>
      <c r="F27" s="132"/>
    </row>
    <row r="28" spans="1:13" x14ac:dyDescent="0.3">
      <c r="B28" s="132" t="s">
        <v>130</v>
      </c>
      <c r="C28" s="132"/>
      <c r="D28" s="132"/>
      <c r="E28" s="132"/>
      <c r="F28" s="132"/>
    </row>
    <row r="29" spans="1:13" x14ac:dyDescent="0.3">
      <c r="B29" s="132" t="s">
        <v>129</v>
      </c>
      <c r="C29" s="132"/>
      <c r="D29" s="132"/>
      <c r="E29" s="132"/>
      <c r="F29" s="132"/>
    </row>
    <row r="30" spans="1:13" x14ac:dyDescent="0.3">
      <c r="B30" s="132"/>
      <c r="C30" s="132"/>
      <c r="D30" s="132"/>
      <c r="E30" s="132"/>
      <c r="F30" s="132"/>
    </row>
    <row r="31" spans="1:13" x14ac:dyDescent="0.3">
      <c r="B31" s="170" t="s">
        <v>116</v>
      </c>
      <c r="C31" s="171"/>
    </row>
    <row r="32" spans="1:13" x14ac:dyDescent="0.3">
      <c r="B32" s="131" t="s">
        <v>107</v>
      </c>
      <c r="D32" s="142"/>
    </row>
    <row r="33" spans="2:9" x14ac:dyDescent="0.3">
      <c r="B33" s="131" t="s">
        <v>108</v>
      </c>
    </row>
    <row r="34" spans="2:9" ht="14.4" thickBot="1" x14ac:dyDescent="0.35"/>
    <row r="35" spans="2:9" x14ac:dyDescent="0.3">
      <c r="B35" s="143" t="s">
        <v>119</v>
      </c>
      <c r="C35" s="144"/>
      <c r="D35" s="144"/>
      <c r="E35" s="144"/>
      <c r="F35" s="144"/>
      <c r="G35" s="144"/>
      <c r="H35" s="144"/>
      <c r="I35" s="146"/>
    </row>
    <row r="36" spans="2:9" x14ac:dyDescent="0.3">
      <c r="B36" s="147" t="s">
        <v>138</v>
      </c>
      <c r="I36" s="148"/>
    </row>
    <row r="37" spans="2:9" x14ac:dyDescent="0.3">
      <c r="B37" s="147" t="s">
        <v>151</v>
      </c>
      <c r="I37" s="148"/>
    </row>
    <row r="38" spans="2:9" x14ac:dyDescent="0.3">
      <c r="B38" s="147"/>
      <c r="I38" s="148"/>
    </row>
    <row r="39" spans="2:9" x14ac:dyDescent="0.3">
      <c r="B39" s="149" t="s">
        <v>147</v>
      </c>
      <c r="C39" s="142" t="s">
        <v>148</v>
      </c>
      <c r="D39" s="142"/>
      <c r="E39" s="142"/>
      <c r="F39" s="142" t="s">
        <v>149</v>
      </c>
      <c r="G39" s="142"/>
      <c r="I39" s="148"/>
    </row>
    <row r="40" spans="2:9" x14ac:dyDescent="0.3">
      <c r="B40" s="147" t="s">
        <v>139</v>
      </c>
      <c r="C40" s="131" t="s">
        <v>142</v>
      </c>
      <c r="F40" s="131" t="s">
        <v>145</v>
      </c>
      <c r="I40" s="148"/>
    </row>
    <row r="41" spans="2:9" x14ac:dyDescent="0.3">
      <c r="B41" s="147"/>
      <c r="I41" s="148"/>
    </row>
    <row r="42" spans="2:9" x14ac:dyDescent="0.3">
      <c r="B42" s="147" t="s">
        <v>140</v>
      </c>
      <c r="C42" s="151" t="s">
        <v>144</v>
      </c>
      <c r="F42" s="131" t="s">
        <v>146</v>
      </c>
      <c r="I42" s="148"/>
    </row>
    <row r="43" spans="2:9" x14ac:dyDescent="0.3">
      <c r="B43" s="147"/>
      <c r="I43" s="148"/>
    </row>
    <row r="44" spans="2:9" ht="14.4" thickBot="1" x14ac:dyDescent="0.35">
      <c r="B44" s="152" t="s">
        <v>141</v>
      </c>
      <c r="C44" s="153" t="s">
        <v>143</v>
      </c>
      <c r="D44" s="155"/>
      <c r="E44" s="155"/>
      <c r="F44" s="155" t="s">
        <v>152</v>
      </c>
      <c r="G44" s="155"/>
      <c r="H44" s="155"/>
      <c r="I44" s="156"/>
    </row>
  </sheetData>
  <sheetProtection sheet="1" objects="1" scenarios="1"/>
  <pageMargins left="0.25" right="0.25" top="0.75" bottom="0.75" header="0.3" footer="0.3"/>
  <pageSetup orientation="landscape" r:id="rId1"/>
  <headerFooter alignWithMargins="0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5A7869-8CC0-4604-A25C-0AB6B8D44004}">
  <dimension ref="A1:AD55"/>
  <sheetViews>
    <sheetView showGridLines="0" workbookViewId="0"/>
  </sheetViews>
  <sheetFormatPr defaultColWidth="9.109375" defaultRowHeight="13.8" x14ac:dyDescent="0.3"/>
  <cols>
    <col min="1" max="1" width="5.109375" style="131" customWidth="1"/>
    <col min="2" max="2" width="4.109375" style="131" bestFit="1" customWidth="1"/>
    <col min="3" max="3" width="7" style="131" bestFit="1" customWidth="1"/>
    <col min="4" max="4" width="31.44140625" style="131" customWidth="1"/>
    <col min="5" max="5" width="9.109375" style="131" customWidth="1"/>
    <col min="6" max="6" width="6.5546875" style="141" hidden="1" customWidth="1"/>
    <col min="7" max="7" width="4" style="131" customWidth="1"/>
    <col min="8" max="8" width="18.33203125" style="131" customWidth="1"/>
    <col min="9" max="9" width="10.44140625" style="131" customWidth="1"/>
    <col min="10" max="10" width="10.44140625" style="131" hidden="1" customWidth="1"/>
    <col min="11" max="11" width="10.88671875" style="131" bestFit="1" customWidth="1"/>
    <col min="12" max="12" width="11.88671875" style="131" customWidth="1"/>
    <col min="13" max="13" width="5.44140625" style="131" customWidth="1"/>
    <col min="14" max="14" width="5.33203125" style="131" customWidth="1"/>
    <col min="15" max="15" width="9.5546875" style="131" customWidth="1"/>
    <col min="16" max="16" width="6.88671875" style="131" customWidth="1"/>
    <col min="17" max="17" width="5.44140625" style="131" bestFit="1" customWidth="1"/>
    <col min="18" max="18" width="10.88671875" style="131" customWidth="1"/>
    <col min="19" max="19" width="7.33203125" style="131" bestFit="1" customWidth="1"/>
    <col min="20" max="20" width="5.44140625" style="131" bestFit="1" customWidth="1"/>
    <col min="21" max="21" width="11.5546875" style="131" bestFit="1" customWidth="1"/>
    <col min="22" max="22" width="9" style="131" bestFit="1" customWidth="1"/>
    <col min="23" max="23" width="8.88671875" style="131" customWidth="1"/>
    <col min="24" max="24" width="11.88671875" style="131" hidden="1" customWidth="1"/>
    <col min="25" max="25" width="8.6640625" style="131" hidden="1" customWidth="1"/>
    <col min="26" max="26" width="5" style="131" customWidth="1"/>
    <col min="27" max="27" width="6.44140625" style="131" customWidth="1"/>
    <col min="28" max="29" width="6.6640625" style="131" bestFit="1" customWidth="1"/>
    <col min="30" max="30" width="11.88671875" style="131" bestFit="1" customWidth="1"/>
    <col min="31" max="31" width="6.6640625" style="131" bestFit="1" customWidth="1"/>
    <col min="32" max="16384" width="9.109375" style="131"/>
  </cols>
  <sheetData>
    <row r="1" spans="1:30" ht="15.6" x14ac:dyDescent="0.3">
      <c r="A1" s="126" t="s">
        <v>105</v>
      </c>
      <c r="B1" s="127"/>
      <c r="C1" s="127"/>
      <c r="D1" s="126"/>
      <c r="E1" s="127"/>
      <c r="F1" s="128"/>
      <c r="G1" s="129"/>
      <c r="H1" s="129"/>
      <c r="I1" s="130"/>
      <c r="J1" s="130"/>
      <c r="K1" s="130"/>
      <c r="O1" s="130"/>
      <c r="P1" s="130"/>
      <c r="Q1" s="130"/>
      <c r="R1" s="130"/>
      <c r="S1" s="130"/>
      <c r="T1" s="130"/>
      <c r="U1" s="130"/>
      <c r="V1" s="130"/>
      <c r="W1" s="130"/>
      <c r="X1" s="130"/>
      <c r="Y1" s="130"/>
      <c r="Z1" s="130"/>
      <c r="AA1" s="130"/>
      <c r="AB1" s="130"/>
      <c r="AC1" s="130"/>
    </row>
    <row r="2" spans="1:30" ht="15.6" x14ac:dyDescent="0.3">
      <c r="A2" s="126" t="s">
        <v>182</v>
      </c>
      <c r="B2" s="127"/>
      <c r="C2" s="127"/>
      <c r="D2" s="126"/>
      <c r="E2" s="127"/>
      <c r="F2" s="128"/>
      <c r="G2" s="129"/>
      <c r="H2" s="129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  <c r="T2" s="130"/>
      <c r="U2" s="130"/>
      <c r="V2" s="130"/>
      <c r="W2" s="130"/>
      <c r="X2" s="130"/>
      <c r="Y2" s="130"/>
      <c r="Z2" s="130"/>
      <c r="AA2" s="130"/>
      <c r="AB2" s="130"/>
      <c r="AC2" s="130"/>
    </row>
    <row r="3" spans="1:30" hidden="1" x14ac:dyDescent="0.3">
      <c r="A3" s="132"/>
      <c r="B3" s="129"/>
      <c r="C3" s="129"/>
      <c r="D3" s="132"/>
      <c r="E3" s="129"/>
      <c r="F3" s="133"/>
      <c r="G3" s="129"/>
      <c r="H3" s="129"/>
      <c r="I3" s="130"/>
      <c r="J3" s="130"/>
      <c r="K3" s="130"/>
      <c r="L3" s="130"/>
      <c r="M3" s="130"/>
      <c r="N3" s="130"/>
      <c r="O3" s="130"/>
      <c r="P3" s="130"/>
      <c r="Q3" s="130"/>
      <c r="R3" s="130"/>
      <c r="S3" s="130"/>
      <c r="T3" s="130"/>
      <c r="U3" s="130"/>
      <c r="V3" s="130"/>
      <c r="W3" s="130"/>
      <c r="X3" s="130"/>
      <c r="Y3" s="130"/>
      <c r="Z3" s="130"/>
      <c r="AA3" s="130"/>
      <c r="AB3" s="130"/>
      <c r="AC3" s="130"/>
    </row>
    <row r="4" spans="1:30" hidden="1" x14ac:dyDescent="0.3">
      <c r="A4" s="132"/>
      <c r="B4" s="129"/>
      <c r="C4" s="129"/>
      <c r="D4" s="132"/>
      <c r="E4" s="129"/>
      <c r="F4" s="133"/>
      <c r="G4" s="129"/>
      <c r="H4" s="129"/>
      <c r="I4" s="130"/>
      <c r="J4" s="130"/>
      <c r="K4" s="130"/>
      <c r="L4" s="130"/>
      <c r="M4" s="130"/>
      <c r="N4" s="130"/>
    </row>
    <row r="5" spans="1:30" x14ac:dyDescent="0.3">
      <c r="A5" s="132"/>
      <c r="B5" s="129"/>
      <c r="C5" s="129"/>
      <c r="D5" s="132"/>
      <c r="E5" s="129"/>
      <c r="F5" s="133"/>
      <c r="G5" s="129"/>
      <c r="H5" s="129"/>
      <c r="I5" s="130"/>
      <c r="J5" s="130"/>
      <c r="K5" s="130"/>
      <c r="L5" s="130"/>
      <c r="M5" s="130"/>
      <c r="N5" s="130"/>
    </row>
    <row r="6" spans="1:30" x14ac:dyDescent="0.3">
      <c r="A6" s="134"/>
      <c r="B6" s="129"/>
      <c r="C6" s="129"/>
      <c r="D6" s="132"/>
      <c r="E6" s="129"/>
      <c r="F6" s="133"/>
      <c r="G6" s="129"/>
      <c r="H6" s="129"/>
      <c r="I6" s="129"/>
      <c r="J6" s="129"/>
      <c r="K6" s="129"/>
      <c r="L6" s="130"/>
      <c r="M6" s="130"/>
      <c r="N6" s="130"/>
      <c r="O6" s="233"/>
      <c r="P6" s="233"/>
      <c r="Q6" s="233"/>
      <c r="R6" s="233"/>
      <c r="S6" s="233"/>
      <c r="T6" s="233"/>
    </row>
    <row r="7" spans="1:30" ht="41.25" customHeight="1" x14ac:dyDescent="0.3">
      <c r="A7" s="190" t="s">
        <v>5</v>
      </c>
      <c r="B7" s="190" t="s">
        <v>6</v>
      </c>
      <c r="C7" s="190" t="s">
        <v>174</v>
      </c>
      <c r="D7" s="190" t="s">
        <v>125</v>
      </c>
      <c r="E7" s="191" t="s">
        <v>13</v>
      </c>
      <c r="F7" s="199" t="s">
        <v>184</v>
      </c>
      <c r="G7" s="193" t="s">
        <v>9</v>
      </c>
      <c r="H7" s="190" t="s">
        <v>122</v>
      </c>
      <c r="I7" s="190" t="s">
        <v>123</v>
      </c>
      <c r="J7" s="190" t="s">
        <v>183</v>
      </c>
      <c r="K7" s="190" t="s">
        <v>110</v>
      </c>
      <c r="L7" s="190" t="s">
        <v>111</v>
      </c>
      <c r="M7" s="190" t="s">
        <v>140</v>
      </c>
      <c r="N7" s="190" t="s">
        <v>141</v>
      </c>
      <c r="O7" s="190" t="s">
        <v>168</v>
      </c>
      <c r="P7" s="190" t="s">
        <v>42</v>
      </c>
      <c r="Q7" s="190" t="s">
        <v>41</v>
      </c>
      <c r="R7" s="190" t="s">
        <v>63</v>
      </c>
      <c r="S7" s="190" t="s">
        <v>169</v>
      </c>
      <c r="T7" s="190" t="s">
        <v>45</v>
      </c>
      <c r="U7" s="193" t="s">
        <v>171</v>
      </c>
      <c r="V7" s="193" t="s">
        <v>172</v>
      </c>
      <c r="W7" s="129"/>
      <c r="X7" s="129"/>
      <c r="Y7" s="129"/>
      <c r="Z7" s="129"/>
      <c r="AA7" s="129"/>
      <c r="AB7"/>
      <c r="AC7"/>
      <c r="AD7"/>
    </row>
    <row r="8" spans="1:30" x14ac:dyDescent="0.3">
      <c r="A8" s="132" t="s">
        <v>14</v>
      </c>
      <c r="B8" s="129">
        <v>2</v>
      </c>
      <c r="C8" s="134" t="s">
        <v>175</v>
      </c>
      <c r="D8" s="132" t="s">
        <v>30</v>
      </c>
      <c r="E8" s="129"/>
      <c r="F8" s="133"/>
      <c r="G8" s="129"/>
      <c r="H8" s="129"/>
      <c r="I8" s="137"/>
      <c r="J8" s="137"/>
      <c r="K8" s="138"/>
      <c r="L8" s="130"/>
      <c r="M8" s="130"/>
      <c r="N8" s="130"/>
      <c r="O8" s="135"/>
      <c r="AA8"/>
      <c r="AB8"/>
      <c r="AC8"/>
      <c r="AD8"/>
    </row>
    <row r="9" spans="1:30" x14ac:dyDescent="0.3">
      <c r="A9" s="132"/>
      <c r="B9" s="129"/>
      <c r="C9" s="129"/>
      <c r="D9" s="132" t="s">
        <v>155</v>
      </c>
      <c r="E9" s="132"/>
      <c r="F9" s="216">
        <v>0.45</v>
      </c>
      <c r="G9" s="129" t="s">
        <v>17</v>
      </c>
      <c r="H9" s="188">
        <f>I9+K9</f>
        <v>26.71</v>
      </c>
      <c r="I9" s="188">
        <f>F9*'2024 calcs'!E2</f>
        <v>25.2</v>
      </c>
      <c r="J9" s="214">
        <v>0.06</v>
      </c>
      <c r="K9" s="188">
        <f>ROUND(I9*J9,2)</f>
        <v>1.51</v>
      </c>
      <c r="L9" s="188">
        <f>O9+P9+Q9+S9+T9</f>
        <v>15.369199999999999</v>
      </c>
      <c r="M9" s="188">
        <f>I9*0.1</f>
        <v>2.52</v>
      </c>
      <c r="N9" s="188">
        <f>I9*0.15</f>
        <v>3.78</v>
      </c>
      <c r="O9" s="188">
        <f>'May 6 2024'!O6</f>
        <v>11.799199999999999</v>
      </c>
      <c r="P9" s="188">
        <f t="shared" ref="P9:P14" si="0">ROUND(LocPen*I9,2)</f>
        <v>2.25</v>
      </c>
      <c r="Q9" s="188">
        <f t="shared" ref="Q9:Q14" si="1">ROUND(NBEF*I9,2)</f>
        <v>0.76</v>
      </c>
      <c r="R9" s="188" t="s">
        <v>113</v>
      </c>
      <c r="S9" s="188">
        <f t="shared" ref="S9:S14" si="2">ROUND(LMCC*I9,2)+NLMCC</f>
        <v>0.05</v>
      </c>
      <c r="T9" s="188">
        <f t="shared" ref="T9:T14" si="3">ROUND(JATC*I9,2)</f>
        <v>0.51</v>
      </c>
      <c r="U9" s="167">
        <f>SUM(O9:T9)+K9</f>
        <v>16.879200000000001</v>
      </c>
      <c r="V9" s="167">
        <f>U9+I9</f>
        <v>42.0792</v>
      </c>
      <c r="W9" s="139"/>
      <c r="X9" s="131" t="s">
        <v>42</v>
      </c>
      <c r="Y9" s="212">
        <f>'2024 calcs'!D5/100</f>
        <v>8.929999999999999E-2</v>
      </c>
      <c r="Z9" s="139"/>
      <c r="AA9"/>
      <c r="AB9"/>
      <c r="AC9"/>
      <c r="AD9"/>
    </row>
    <row r="10" spans="1:30" x14ac:dyDescent="0.3">
      <c r="A10" s="132"/>
      <c r="B10" s="129"/>
      <c r="C10" s="129"/>
      <c r="D10" s="132" t="s">
        <v>156</v>
      </c>
      <c r="E10" s="129"/>
      <c r="F10" s="216">
        <v>0.45</v>
      </c>
      <c r="G10" s="129" t="s">
        <v>17</v>
      </c>
      <c r="H10" s="188">
        <f t="shared" ref="H10:H14" si="4">I10+K10</f>
        <v>28.73</v>
      </c>
      <c r="I10" s="188">
        <f>F10*'2024 calcs'!E2</f>
        <v>25.2</v>
      </c>
      <c r="J10" s="214">
        <v>0.14000000000000001</v>
      </c>
      <c r="K10" s="188">
        <f t="shared" ref="K10:K14" si="5">ROUND(I10*J10,2)</f>
        <v>3.53</v>
      </c>
      <c r="L10" s="188">
        <f>O10+P10+Q10+S10+T10</f>
        <v>15.369199999999999</v>
      </c>
      <c r="M10" s="188">
        <f t="shared" ref="M10:M14" si="6">I10*0.1</f>
        <v>2.52</v>
      </c>
      <c r="N10" s="188">
        <f t="shared" ref="N10:N14" si="7">I10*0.15</f>
        <v>3.78</v>
      </c>
      <c r="O10" s="188">
        <f>O9</f>
        <v>11.799199999999999</v>
      </c>
      <c r="P10" s="188">
        <f t="shared" si="0"/>
        <v>2.25</v>
      </c>
      <c r="Q10" s="188">
        <f t="shared" si="1"/>
        <v>0.76</v>
      </c>
      <c r="R10" s="188" t="s">
        <v>113</v>
      </c>
      <c r="S10" s="188">
        <f t="shared" si="2"/>
        <v>0.05</v>
      </c>
      <c r="T10" s="188">
        <f t="shared" si="3"/>
        <v>0.51</v>
      </c>
      <c r="U10" s="167">
        <f t="shared" ref="U10:U14" si="8">SUM(O10:T10)+K10</f>
        <v>18.8992</v>
      </c>
      <c r="V10" s="167">
        <f t="shared" ref="V10:V14" si="9">U10+I10</f>
        <v>44.099199999999996</v>
      </c>
      <c r="W10" s="139"/>
      <c r="X10" s="131" t="s">
        <v>161</v>
      </c>
      <c r="Y10" s="212">
        <f>'2024 calcs'!D4/100</f>
        <v>0.03</v>
      </c>
      <c r="Z10" s="139"/>
      <c r="AA10"/>
      <c r="AB10"/>
      <c r="AC10"/>
      <c r="AD10"/>
    </row>
    <row r="11" spans="1:30" x14ac:dyDescent="0.3">
      <c r="A11" s="132"/>
      <c r="B11" s="129"/>
      <c r="C11" s="129"/>
      <c r="D11" s="132" t="s">
        <v>33</v>
      </c>
      <c r="E11" s="129"/>
      <c r="F11" s="216">
        <v>0.5</v>
      </c>
      <c r="G11" s="129" t="s">
        <v>17</v>
      </c>
      <c r="H11" s="188">
        <f t="shared" si="4"/>
        <v>31.92</v>
      </c>
      <c r="I11" s="188">
        <f>F11*'2024 calcs'!E2</f>
        <v>28</v>
      </c>
      <c r="J11" s="214">
        <v>0.14000000000000001</v>
      </c>
      <c r="K11" s="188">
        <f t="shared" si="5"/>
        <v>3.92</v>
      </c>
      <c r="L11" s="188">
        <f t="shared" ref="L11:L14" si="10">O11+P11+Q11+R11+S11+T11</f>
        <v>19.229199999999999</v>
      </c>
      <c r="M11" s="188">
        <f t="shared" si="6"/>
        <v>2.8000000000000003</v>
      </c>
      <c r="N11" s="188">
        <f t="shared" si="7"/>
        <v>4.2</v>
      </c>
      <c r="O11" s="188">
        <f t="shared" ref="O11:O14" si="11">O10</f>
        <v>11.799199999999999</v>
      </c>
      <c r="P11" s="188">
        <f t="shared" si="0"/>
        <v>2.5</v>
      </c>
      <c r="Q11" s="188">
        <f t="shared" si="1"/>
        <v>0.84</v>
      </c>
      <c r="R11" s="188">
        <f>ROUND(AnnSub*I11,2)</f>
        <v>3.47</v>
      </c>
      <c r="S11" s="188">
        <f t="shared" si="2"/>
        <v>0.05</v>
      </c>
      <c r="T11" s="188">
        <f t="shared" si="3"/>
        <v>0.56999999999999995</v>
      </c>
      <c r="U11" s="167">
        <f t="shared" si="8"/>
        <v>23.1492</v>
      </c>
      <c r="V11" s="167">
        <f t="shared" si="9"/>
        <v>51.1492</v>
      </c>
      <c r="W11" s="139"/>
      <c r="X11" s="131" t="s">
        <v>162</v>
      </c>
      <c r="Y11" s="212">
        <f>'2024 calcs'!D6/100</f>
        <v>0.12390000000000001</v>
      </c>
      <c r="Z11" s="139"/>
      <c r="AA11"/>
      <c r="AB11"/>
      <c r="AC11"/>
      <c r="AD11"/>
    </row>
    <row r="12" spans="1:30" x14ac:dyDescent="0.3">
      <c r="D12" s="132" t="s">
        <v>34</v>
      </c>
      <c r="E12" s="129"/>
      <c r="F12" s="216">
        <v>0.6</v>
      </c>
      <c r="G12" s="129" t="s">
        <v>17</v>
      </c>
      <c r="H12" s="188">
        <f t="shared" si="4"/>
        <v>38.300000000000004</v>
      </c>
      <c r="I12" s="188">
        <f>F12*'2024 calcs'!E2</f>
        <v>33.6</v>
      </c>
      <c r="J12" s="214">
        <v>0.14000000000000001</v>
      </c>
      <c r="K12" s="188">
        <f t="shared" si="5"/>
        <v>4.7</v>
      </c>
      <c r="L12" s="188">
        <f t="shared" si="10"/>
        <v>20.709199999999999</v>
      </c>
      <c r="M12" s="188">
        <f t="shared" si="6"/>
        <v>3.3600000000000003</v>
      </c>
      <c r="N12" s="188">
        <f t="shared" si="7"/>
        <v>5.04</v>
      </c>
      <c r="O12" s="188">
        <f t="shared" si="11"/>
        <v>11.799199999999999</v>
      </c>
      <c r="P12" s="188">
        <f t="shared" si="0"/>
        <v>3</v>
      </c>
      <c r="Q12" s="188">
        <f t="shared" si="1"/>
        <v>1.01</v>
      </c>
      <c r="R12" s="188">
        <f>ROUND(AnnSub*I12,2)</f>
        <v>4.16</v>
      </c>
      <c r="S12" s="188">
        <f t="shared" si="2"/>
        <v>6.0000000000000005E-2</v>
      </c>
      <c r="T12" s="188">
        <f t="shared" si="3"/>
        <v>0.68</v>
      </c>
      <c r="U12" s="167">
        <f t="shared" si="8"/>
        <v>25.409199999999998</v>
      </c>
      <c r="V12" s="167">
        <f t="shared" si="9"/>
        <v>59.0092</v>
      </c>
      <c r="W12" s="139"/>
      <c r="X12" s="131" t="s">
        <v>56</v>
      </c>
      <c r="Y12" s="212">
        <f>'2024 calcs'!D9/100</f>
        <v>1.6000000000000001E-3</v>
      </c>
      <c r="Z12" s="139"/>
      <c r="AA12"/>
      <c r="AB12"/>
      <c r="AC12"/>
      <c r="AD12"/>
    </row>
    <row r="13" spans="1:30" x14ac:dyDescent="0.3">
      <c r="D13" s="132" t="s">
        <v>35</v>
      </c>
      <c r="E13" s="129"/>
      <c r="F13" s="216">
        <v>0.75</v>
      </c>
      <c r="G13" s="129" t="s">
        <v>17</v>
      </c>
      <c r="H13" s="188">
        <f t="shared" si="4"/>
        <v>47.88</v>
      </c>
      <c r="I13" s="188">
        <f>F13*'2024 calcs'!E2</f>
        <v>42</v>
      </c>
      <c r="J13" s="214">
        <v>0.14000000000000001</v>
      </c>
      <c r="K13" s="188">
        <f t="shared" si="5"/>
        <v>5.88</v>
      </c>
      <c r="L13" s="188">
        <f t="shared" si="10"/>
        <v>22.9392</v>
      </c>
      <c r="M13" s="188">
        <f t="shared" si="6"/>
        <v>4.2</v>
      </c>
      <c r="N13" s="188">
        <f t="shared" si="7"/>
        <v>6.3</v>
      </c>
      <c r="O13" s="188">
        <f t="shared" si="11"/>
        <v>11.799199999999999</v>
      </c>
      <c r="P13" s="188">
        <f t="shared" si="0"/>
        <v>3.75</v>
      </c>
      <c r="Q13" s="188">
        <f t="shared" si="1"/>
        <v>1.26</v>
      </c>
      <c r="R13" s="188">
        <f>ROUND(AnnSub*I13,2)</f>
        <v>5.2</v>
      </c>
      <c r="S13" s="188">
        <f t="shared" si="2"/>
        <v>0.08</v>
      </c>
      <c r="T13" s="188">
        <f t="shared" si="3"/>
        <v>0.85</v>
      </c>
      <c r="U13" s="167">
        <f t="shared" si="8"/>
        <v>28.819199999999999</v>
      </c>
      <c r="V13" s="167">
        <f t="shared" si="9"/>
        <v>70.819199999999995</v>
      </c>
      <c r="W13" s="139"/>
      <c r="X13" s="131" t="s">
        <v>164</v>
      </c>
      <c r="Y13" s="217">
        <f>'2024 calcs'!D10</f>
        <v>0.01</v>
      </c>
      <c r="Z13" s="139"/>
      <c r="AA13"/>
      <c r="AB13"/>
      <c r="AC13"/>
      <c r="AD13"/>
    </row>
    <row r="14" spans="1:30" x14ac:dyDescent="0.3">
      <c r="D14" s="131" t="s">
        <v>36</v>
      </c>
      <c r="E14" s="129"/>
      <c r="F14" s="216">
        <v>0.85</v>
      </c>
      <c r="G14" s="129"/>
      <c r="H14" s="188">
        <f t="shared" si="4"/>
        <v>54.260000000000005</v>
      </c>
      <c r="I14" s="188">
        <f>F14*'2024 calcs'!E2</f>
        <v>47.6</v>
      </c>
      <c r="J14" s="214">
        <v>0.14000000000000001</v>
      </c>
      <c r="K14" s="188">
        <f t="shared" si="5"/>
        <v>6.66</v>
      </c>
      <c r="L14" s="188">
        <f t="shared" si="10"/>
        <v>24.429199999999998</v>
      </c>
      <c r="M14" s="188">
        <f t="shared" si="6"/>
        <v>4.7600000000000007</v>
      </c>
      <c r="N14" s="188">
        <f t="shared" si="7"/>
        <v>7.14</v>
      </c>
      <c r="O14" s="188">
        <f t="shared" si="11"/>
        <v>11.799199999999999</v>
      </c>
      <c r="P14" s="188">
        <f t="shared" si="0"/>
        <v>4.25</v>
      </c>
      <c r="Q14" s="188">
        <f t="shared" si="1"/>
        <v>1.43</v>
      </c>
      <c r="R14" s="188">
        <f>ROUND(AnnSub*I14,2)</f>
        <v>5.9</v>
      </c>
      <c r="S14" s="188">
        <f t="shared" si="2"/>
        <v>0.09</v>
      </c>
      <c r="T14" s="188">
        <f t="shared" si="3"/>
        <v>0.96</v>
      </c>
      <c r="U14" s="167">
        <f t="shared" si="8"/>
        <v>31.089199999999998</v>
      </c>
      <c r="V14" s="167">
        <f t="shared" si="9"/>
        <v>78.6892</v>
      </c>
      <c r="W14" s="139"/>
      <c r="X14" s="131" t="s">
        <v>45</v>
      </c>
      <c r="Y14" s="212">
        <f>'2024 calcs'!D8/100</f>
        <v>2.0199999999999999E-2</v>
      </c>
      <c r="Z14" s="139"/>
      <c r="AA14"/>
      <c r="AB14"/>
      <c r="AC14"/>
      <c r="AD14"/>
    </row>
    <row r="15" spans="1:30" x14ac:dyDescent="0.3">
      <c r="D15" s="140" t="s">
        <v>157</v>
      </c>
      <c r="H15" s="188"/>
      <c r="I15" s="197"/>
      <c r="J15" s="197"/>
      <c r="K15" s="197"/>
      <c r="L15" s="197"/>
      <c r="M15" s="197"/>
      <c r="N15" s="197"/>
      <c r="O15" s="189"/>
      <c r="P15" s="189"/>
      <c r="Q15" s="189"/>
      <c r="R15" s="189"/>
      <c r="S15" s="189"/>
      <c r="T15" s="189"/>
      <c r="U15" s="197"/>
      <c r="V15" s="197"/>
      <c r="Y15" s="218"/>
    </row>
    <row r="16" spans="1:30" x14ac:dyDescent="0.3">
      <c r="D16" s="140"/>
      <c r="H16" s="188"/>
      <c r="I16" s="167"/>
      <c r="J16" s="167"/>
      <c r="K16" s="213"/>
      <c r="L16" s="167"/>
      <c r="M16" s="167"/>
      <c r="N16" s="167"/>
      <c r="O16" s="189"/>
      <c r="P16" s="189"/>
      <c r="Q16" s="189"/>
      <c r="R16" s="189"/>
      <c r="S16" s="189"/>
      <c r="T16" s="189"/>
      <c r="U16" s="167"/>
      <c r="V16" s="167"/>
      <c r="Y16" s="212"/>
    </row>
    <row r="17" spans="1:25" x14ac:dyDescent="0.3">
      <c r="C17" s="76" t="s">
        <v>176</v>
      </c>
      <c r="D17" s="132" t="s">
        <v>159</v>
      </c>
      <c r="H17" s="188"/>
      <c r="I17" s="167"/>
      <c r="J17" s="167"/>
      <c r="K17" s="198"/>
      <c r="L17" s="167"/>
      <c r="M17" s="167"/>
      <c r="N17" s="167"/>
      <c r="O17" s="189"/>
      <c r="P17" s="189"/>
      <c r="Q17" s="189"/>
      <c r="R17" s="189"/>
      <c r="S17" s="189"/>
      <c r="T17" s="189"/>
      <c r="U17" s="167"/>
      <c r="V17" s="167"/>
      <c r="Y17" s="212"/>
    </row>
    <row r="18" spans="1:25" x14ac:dyDescent="0.3">
      <c r="D18" s="231" t="s">
        <v>160</v>
      </c>
      <c r="E18" s="232"/>
      <c r="F18" s="214">
        <v>0.4</v>
      </c>
      <c r="G18" s="131" t="s">
        <v>17</v>
      </c>
      <c r="H18" s="197">
        <f>'2024 calcs'!E2*'Apprentice 5-6 2024'!F18</f>
        <v>22.400000000000002</v>
      </c>
      <c r="K18" s="167"/>
      <c r="L18" s="167"/>
      <c r="M18" s="167"/>
      <c r="N18" s="167"/>
      <c r="O18" s="189"/>
      <c r="P18" s="189"/>
      <c r="Q18" s="189"/>
      <c r="R18" s="189"/>
      <c r="S18" s="189"/>
      <c r="T18" s="189"/>
      <c r="U18" s="167"/>
      <c r="V18" s="167"/>
    </row>
    <row r="19" spans="1:25" x14ac:dyDescent="0.3">
      <c r="D19" s="132"/>
      <c r="H19" s="188"/>
      <c r="I19" s="167"/>
      <c r="J19" s="167"/>
      <c r="K19" s="167"/>
      <c r="L19" s="167"/>
      <c r="M19" s="167"/>
      <c r="N19" s="167"/>
      <c r="O19" s="189"/>
      <c r="P19" s="189"/>
      <c r="Q19" s="189"/>
      <c r="R19" s="189"/>
      <c r="S19" s="189"/>
      <c r="T19" s="189"/>
      <c r="U19" s="167"/>
      <c r="V19" s="167"/>
    </row>
    <row r="20" spans="1:25" x14ac:dyDescent="0.3">
      <c r="A20" s="140" t="s">
        <v>22</v>
      </c>
      <c r="B20" s="129"/>
      <c r="C20" s="129"/>
      <c r="D20" s="132"/>
      <c r="E20" s="129"/>
      <c r="F20" s="133"/>
      <c r="G20" s="129"/>
      <c r="H20" s="188"/>
      <c r="I20" s="188"/>
      <c r="J20" s="188"/>
      <c r="K20" s="188"/>
      <c r="L20" s="188"/>
      <c r="M20" s="188"/>
      <c r="N20" s="188"/>
      <c r="O20" s="189"/>
      <c r="P20" s="189"/>
      <c r="Q20" s="189"/>
      <c r="R20" s="189"/>
      <c r="S20" s="189"/>
      <c r="T20" s="189"/>
      <c r="U20" s="167"/>
      <c r="V20" s="167"/>
    </row>
    <row r="21" spans="1:25" x14ac:dyDescent="0.3">
      <c r="D21" s="132" t="s">
        <v>31</v>
      </c>
      <c r="E21" s="132"/>
      <c r="F21" s="133"/>
      <c r="G21" s="129" t="s">
        <v>17</v>
      </c>
      <c r="H21" s="188">
        <f t="shared" ref="H21:H26" si="12">I21+K21</f>
        <v>40.064999999999998</v>
      </c>
      <c r="I21" s="188">
        <f t="shared" ref="I21:K26" si="13">I9*1.5</f>
        <v>37.799999999999997</v>
      </c>
      <c r="J21" s="188"/>
      <c r="K21" s="188">
        <f t="shared" si="13"/>
        <v>2.2650000000000001</v>
      </c>
      <c r="L21" s="188">
        <f>O21+P21+Q21+S21+T21</f>
        <v>17.154199999999999</v>
      </c>
      <c r="M21" s="188"/>
      <c r="N21" s="188"/>
      <c r="O21" s="188">
        <f t="shared" ref="O21:O26" si="14">O9</f>
        <v>11.799199999999999</v>
      </c>
      <c r="P21" s="188">
        <f t="shared" ref="P21:Q26" si="15">P9*1.5</f>
        <v>3.375</v>
      </c>
      <c r="Q21" s="188">
        <f t="shared" si="15"/>
        <v>1.1400000000000001</v>
      </c>
      <c r="R21" s="188" t="s">
        <v>113</v>
      </c>
      <c r="S21" s="188">
        <f t="shared" ref="S21:T26" si="16">S9*1.5</f>
        <v>7.5000000000000011E-2</v>
      </c>
      <c r="T21" s="188">
        <f t="shared" si="16"/>
        <v>0.76500000000000001</v>
      </c>
      <c r="U21" s="167"/>
      <c r="V21" s="167"/>
    </row>
    <row r="22" spans="1:25" x14ac:dyDescent="0.3">
      <c r="D22" s="132" t="s">
        <v>32</v>
      </c>
      <c r="E22" s="129"/>
      <c r="F22" s="133"/>
      <c r="G22" s="129" t="s">
        <v>17</v>
      </c>
      <c r="H22" s="188">
        <f t="shared" si="12"/>
        <v>43.094999999999999</v>
      </c>
      <c r="I22" s="188">
        <f t="shared" si="13"/>
        <v>37.799999999999997</v>
      </c>
      <c r="J22" s="188"/>
      <c r="K22" s="188">
        <f t="shared" si="13"/>
        <v>5.2949999999999999</v>
      </c>
      <c r="L22" s="188">
        <f>O22+P22+Q22+S22+T22</f>
        <v>17.154199999999999</v>
      </c>
      <c r="M22" s="188"/>
      <c r="N22" s="188"/>
      <c r="O22" s="188">
        <f t="shared" si="14"/>
        <v>11.799199999999999</v>
      </c>
      <c r="P22" s="188">
        <f t="shared" si="15"/>
        <v>3.375</v>
      </c>
      <c r="Q22" s="188">
        <f t="shared" si="15"/>
        <v>1.1400000000000001</v>
      </c>
      <c r="R22" s="188" t="s">
        <v>113</v>
      </c>
      <c r="S22" s="188">
        <f t="shared" si="16"/>
        <v>7.5000000000000011E-2</v>
      </c>
      <c r="T22" s="188">
        <f t="shared" si="16"/>
        <v>0.76500000000000001</v>
      </c>
      <c r="U22" s="167"/>
      <c r="V22" s="167"/>
    </row>
    <row r="23" spans="1:25" x14ac:dyDescent="0.3">
      <c r="D23" s="132" t="s">
        <v>33</v>
      </c>
      <c r="E23" s="129"/>
      <c r="F23" s="133"/>
      <c r="G23" s="129" t="s">
        <v>17</v>
      </c>
      <c r="H23" s="188">
        <f t="shared" si="12"/>
        <v>47.88</v>
      </c>
      <c r="I23" s="188">
        <f t="shared" si="13"/>
        <v>42</v>
      </c>
      <c r="J23" s="188"/>
      <c r="K23" s="188">
        <f t="shared" si="13"/>
        <v>5.88</v>
      </c>
      <c r="L23" s="188">
        <f t="shared" ref="L23:L26" si="17">O23+P23+Q23+R23+S23+T23</f>
        <v>22.944200000000002</v>
      </c>
      <c r="M23" s="188"/>
      <c r="N23" s="188"/>
      <c r="O23" s="188">
        <f t="shared" si="14"/>
        <v>11.799199999999999</v>
      </c>
      <c r="P23" s="188">
        <f t="shared" si="15"/>
        <v>3.75</v>
      </c>
      <c r="Q23" s="188">
        <f t="shared" si="15"/>
        <v>1.26</v>
      </c>
      <c r="R23" s="188">
        <f>R11*1.5</f>
        <v>5.2050000000000001</v>
      </c>
      <c r="S23" s="188">
        <f t="shared" si="16"/>
        <v>7.5000000000000011E-2</v>
      </c>
      <c r="T23" s="188">
        <f t="shared" si="16"/>
        <v>0.85499999999999998</v>
      </c>
      <c r="U23" s="167"/>
      <c r="V23" s="167"/>
    </row>
    <row r="24" spans="1:25" x14ac:dyDescent="0.3">
      <c r="D24" s="132" t="s">
        <v>34</v>
      </c>
      <c r="E24" s="129"/>
      <c r="F24" s="133"/>
      <c r="G24" s="129" t="s">
        <v>17</v>
      </c>
      <c r="H24" s="188">
        <f t="shared" si="12"/>
        <v>57.45</v>
      </c>
      <c r="I24" s="188">
        <f t="shared" si="13"/>
        <v>50.400000000000006</v>
      </c>
      <c r="J24" s="188"/>
      <c r="K24" s="188">
        <f t="shared" si="13"/>
        <v>7.0500000000000007</v>
      </c>
      <c r="L24" s="188">
        <f t="shared" si="17"/>
        <v>25.164200000000001</v>
      </c>
      <c r="M24" s="188"/>
      <c r="N24" s="188"/>
      <c r="O24" s="188">
        <f t="shared" si="14"/>
        <v>11.799199999999999</v>
      </c>
      <c r="P24" s="188">
        <f t="shared" si="15"/>
        <v>4.5</v>
      </c>
      <c r="Q24" s="188">
        <f t="shared" si="15"/>
        <v>1.5150000000000001</v>
      </c>
      <c r="R24" s="188">
        <f>R12*1.5</f>
        <v>6.24</v>
      </c>
      <c r="S24" s="188">
        <f t="shared" si="16"/>
        <v>9.0000000000000011E-2</v>
      </c>
      <c r="T24" s="188">
        <f t="shared" si="16"/>
        <v>1.02</v>
      </c>
      <c r="U24" s="167"/>
      <c r="V24" s="167"/>
    </row>
    <row r="25" spans="1:25" x14ac:dyDescent="0.3">
      <c r="D25" s="132" t="s">
        <v>35</v>
      </c>
      <c r="E25" s="129"/>
      <c r="F25" s="133"/>
      <c r="G25" s="129" t="s">
        <v>17</v>
      </c>
      <c r="H25" s="188">
        <f t="shared" si="12"/>
        <v>71.819999999999993</v>
      </c>
      <c r="I25" s="188">
        <f t="shared" si="13"/>
        <v>63</v>
      </c>
      <c r="J25" s="188"/>
      <c r="K25" s="188">
        <f t="shared" si="13"/>
        <v>8.82</v>
      </c>
      <c r="L25" s="188">
        <f t="shared" si="17"/>
        <v>28.5092</v>
      </c>
      <c r="M25" s="188"/>
      <c r="N25" s="188"/>
      <c r="O25" s="188">
        <f t="shared" si="14"/>
        <v>11.799199999999999</v>
      </c>
      <c r="P25" s="188">
        <f t="shared" si="15"/>
        <v>5.625</v>
      </c>
      <c r="Q25" s="188">
        <f t="shared" si="15"/>
        <v>1.8900000000000001</v>
      </c>
      <c r="R25" s="188">
        <f>R13*1.5</f>
        <v>7.8000000000000007</v>
      </c>
      <c r="S25" s="188">
        <f t="shared" si="16"/>
        <v>0.12</v>
      </c>
      <c r="T25" s="188">
        <f t="shared" si="16"/>
        <v>1.2749999999999999</v>
      </c>
      <c r="U25" s="167"/>
      <c r="V25" s="167"/>
    </row>
    <row r="26" spans="1:25" x14ac:dyDescent="0.3">
      <c r="D26" s="131" t="s">
        <v>36</v>
      </c>
      <c r="H26" s="188">
        <f t="shared" si="12"/>
        <v>81.39</v>
      </c>
      <c r="I26" s="188">
        <f t="shared" si="13"/>
        <v>71.400000000000006</v>
      </c>
      <c r="J26" s="188"/>
      <c r="K26" s="188">
        <f t="shared" si="13"/>
        <v>9.99</v>
      </c>
      <c r="L26" s="188">
        <f t="shared" si="17"/>
        <v>30.744200000000003</v>
      </c>
      <c r="M26" s="188"/>
      <c r="N26" s="188"/>
      <c r="O26" s="188">
        <f t="shared" si="14"/>
        <v>11.799199999999999</v>
      </c>
      <c r="P26" s="188">
        <f t="shared" si="15"/>
        <v>6.375</v>
      </c>
      <c r="Q26" s="188">
        <f t="shared" si="15"/>
        <v>2.145</v>
      </c>
      <c r="R26" s="188">
        <f>R14*1.5</f>
        <v>8.8500000000000014</v>
      </c>
      <c r="S26" s="188">
        <f t="shared" si="16"/>
        <v>0.13500000000000001</v>
      </c>
      <c r="T26" s="188">
        <f t="shared" si="16"/>
        <v>1.44</v>
      </c>
      <c r="U26" s="167"/>
      <c r="V26" s="167"/>
    </row>
    <row r="28" spans="1:25" x14ac:dyDescent="0.3">
      <c r="D28" s="142" t="s">
        <v>124</v>
      </c>
    </row>
    <row r="29" spans="1:25" x14ac:dyDescent="0.3">
      <c r="D29" s="132" t="s">
        <v>69</v>
      </c>
    </row>
    <row r="30" spans="1:25" x14ac:dyDescent="0.3">
      <c r="D30" s="129"/>
    </row>
    <row r="31" spans="1:25" x14ac:dyDescent="0.3">
      <c r="D31" s="140" t="s">
        <v>120</v>
      </c>
    </row>
    <row r="32" spans="1:25" x14ac:dyDescent="0.3">
      <c r="D32" s="132" t="s">
        <v>117</v>
      </c>
    </row>
    <row r="33" spans="4:17" x14ac:dyDescent="0.3">
      <c r="D33" s="132" t="s">
        <v>118</v>
      </c>
    </row>
    <row r="34" spans="4:17" ht="14.4" thickBot="1" x14ac:dyDescent="0.35">
      <c r="D34" s="132"/>
    </row>
    <row r="35" spans="4:17" x14ac:dyDescent="0.3">
      <c r="D35" s="143" t="s">
        <v>119</v>
      </c>
      <c r="E35" s="144"/>
      <c r="F35" s="145"/>
      <c r="G35" s="144"/>
      <c r="H35" s="144"/>
      <c r="I35" s="144"/>
      <c r="J35" s="144"/>
      <c r="K35" s="144"/>
      <c r="L35" s="144"/>
      <c r="M35" s="144"/>
      <c r="N35" s="144"/>
      <c r="O35" s="144"/>
      <c r="P35" s="144"/>
      <c r="Q35" s="146"/>
    </row>
    <row r="36" spans="4:17" x14ac:dyDescent="0.3">
      <c r="D36" s="147" t="s">
        <v>138</v>
      </c>
      <c r="Q36" s="148"/>
    </row>
    <row r="37" spans="4:17" x14ac:dyDescent="0.3">
      <c r="D37" s="147" t="s">
        <v>151</v>
      </c>
      <c r="Q37" s="148"/>
    </row>
    <row r="38" spans="4:17" x14ac:dyDescent="0.3">
      <c r="D38" s="147"/>
      <c r="Q38" s="148"/>
    </row>
    <row r="39" spans="4:17" x14ac:dyDescent="0.3">
      <c r="D39" s="149" t="s">
        <v>147</v>
      </c>
      <c r="E39" s="142" t="s">
        <v>148</v>
      </c>
      <c r="F39" s="150"/>
      <c r="G39" s="142"/>
      <c r="H39" s="142" t="s">
        <v>149</v>
      </c>
      <c r="I39" s="142"/>
      <c r="J39" s="142"/>
      <c r="Q39" s="148"/>
    </row>
    <row r="40" spans="4:17" x14ac:dyDescent="0.3">
      <c r="D40" s="147" t="s">
        <v>139</v>
      </c>
      <c r="E40" s="131" t="s">
        <v>142</v>
      </c>
      <c r="H40" s="131" t="s">
        <v>145</v>
      </c>
      <c r="Q40" s="148"/>
    </row>
    <row r="41" spans="4:17" x14ac:dyDescent="0.3">
      <c r="D41" s="147"/>
      <c r="Q41" s="148"/>
    </row>
    <row r="42" spans="4:17" x14ac:dyDescent="0.3">
      <c r="D42" s="147" t="s">
        <v>140</v>
      </c>
      <c r="E42" s="151" t="s">
        <v>144</v>
      </c>
      <c r="H42" s="131" t="s">
        <v>146</v>
      </c>
      <c r="Q42" s="148"/>
    </row>
    <row r="43" spans="4:17" x14ac:dyDescent="0.3">
      <c r="D43" s="147"/>
      <c r="Q43" s="148"/>
    </row>
    <row r="44" spans="4:17" ht="14.4" thickBot="1" x14ac:dyDescent="0.35">
      <c r="D44" s="152" t="s">
        <v>141</v>
      </c>
      <c r="E44" s="153" t="s">
        <v>143</v>
      </c>
      <c r="F44" s="154"/>
      <c r="G44" s="155"/>
      <c r="H44" s="155" t="s">
        <v>152</v>
      </c>
      <c r="I44" s="155"/>
      <c r="J44" s="155"/>
      <c r="K44" s="155"/>
      <c r="L44" s="155"/>
      <c r="M44" s="155"/>
      <c r="N44" s="155"/>
      <c r="O44" s="155"/>
      <c r="P44" s="155"/>
      <c r="Q44" s="156"/>
    </row>
    <row r="45" spans="4:17" x14ac:dyDescent="0.3">
      <c r="D45" s="132"/>
      <c r="E45" s="151"/>
    </row>
    <row r="46" spans="4:17" x14ac:dyDescent="0.3">
      <c r="D46" s="157" t="s">
        <v>65</v>
      </c>
    </row>
    <row r="47" spans="4:17" x14ac:dyDescent="0.3">
      <c r="D47" s="132" t="s">
        <v>126</v>
      </c>
      <c r="E47" s="132"/>
      <c r="F47" s="133"/>
      <c r="G47" s="132"/>
      <c r="H47" s="132"/>
    </row>
    <row r="48" spans="4:17" x14ac:dyDescent="0.3">
      <c r="D48" s="132" t="s">
        <v>127</v>
      </c>
      <c r="E48" s="132"/>
      <c r="F48" s="133"/>
      <c r="G48" s="132"/>
      <c r="H48" s="132"/>
    </row>
    <row r="49" spans="4:8" x14ac:dyDescent="0.3">
      <c r="D49" s="132" t="s">
        <v>128</v>
      </c>
      <c r="E49" s="132"/>
      <c r="F49" s="133"/>
      <c r="G49" s="132"/>
      <c r="H49" s="132"/>
    </row>
    <row r="50" spans="4:8" x14ac:dyDescent="0.3">
      <c r="D50" s="132" t="s">
        <v>177</v>
      </c>
    </row>
    <row r="51" spans="4:8" x14ac:dyDescent="0.3">
      <c r="D51" s="132" t="s">
        <v>129</v>
      </c>
    </row>
    <row r="52" spans="4:8" x14ac:dyDescent="0.3">
      <c r="D52" s="132"/>
    </row>
    <row r="53" spans="4:8" x14ac:dyDescent="0.3">
      <c r="D53" s="140" t="s">
        <v>116</v>
      </c>
    </row>
    <row r="54" spans="4:8" x14ac:dyDescent="0.3">
      <c r="D54" s="132" t="s">
        <v>107</v>
      </c>
    </row>
    <row r="55" spans="4:8" x14ac:dyDescent="0.3">
      <c r="D55" s="131" t="s">
        <v>108</v>
      </c>
    </row>
  </sheetData>
  <sheetProtection sheet="1" objects="1" scenarios="1"/>
  <mergeCells count="2">
    <mergeCell ref="O6:T6"/>
    <mergeCell ref="D18:E18"/>
  </mergeCells>
  <pageMargins left="0.75" right="0.75" top="1" bottom="1" header="0.5" footer="0.5"/>
  <pageSetup orientation="portrait" r:id="rId1"/>
  <headerFooter alignWithMargins="0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04E4C1-AAED-4D3A-93B4-6EC65FF21030}">
  <dimension ref="A1:U49"/>
  <sheetViews>
    <sheetView topLeftCell="C1" workbookViewId="0">
      <selection activeCell="G22" sqref="G22"/>
    </sheetView>
  </sheetViews>
  <sheetFormatPr defaultColWidth="9.109375" defaultRowHeight="13.8" x14ac:dyDescent="0.3"/>
  <cols>
    <col min="1" max="3" width="9.109375" style="131"/>
    <col min="4" max="4" width="31.109375" style="131" customWidth="1"/>
    <col min="5" max="5" width="2.5546875" style="131" bestFit="1" customWidth="1"/>
    <col min="6" max="11" width="8.6640625" style="131" customWidth="1"/>
    <col min="12" max="12" width="9.88671875" style="131" customWidth="1"/>
    <col min="13" max="13" width="10.44140625" style="131" customWidth="1"/>
    <col min="14" max="14" width="2.109375" style="131" customWidth="1"/>
    <col min="15" max="15" width="14" style="131" customWidth="1"/>
    <col min="16" max="16" width="13.109375" style="131" customWidth="1"/>
    <col min="17" max="17" width="9.109375" style="131"/>
    <col min="18" max="18" width="15.33203125" style="131" customWidth="1"/>
    <col min="19" max="16384" width="9.109375" style="131"/>
  </cols>
  <sheetData>
    <row r="1" spans="1:21" x14ac:dyDescent="0.3">
      <c r="A1" s="158"/>
    </row>
    <row r="2" spans="1:21" x14ac:dyDescent="0.3">
      <c r="A2" s="158"/>
      <c r="B2" s="158"/>
      <c r="C2" s="159"/>
      <c r="D2" s="158"/>
      <c r="E2" s="159"/>
      <c r="F2" s="159"/>
      <c r="G2" s="160"/>
      <c r="H2" s="160"/>
    </row>
    <row r="3" spans="1:21" x14ac:dyDescent="0.3">
      <c r="O3" s="142" t="s">
        <v>61</v>
      </c>
    </row>
    <row r="4" spans="1:21" ht="15.6" x14ac:dyDescent="0.3">
      <c r="A4" s="126" t="s">
        <v>163</v>
      </c>
      <c r="B4" s="136"/>
      <c r="C4" s="136"/>
      <c r="D4" s="140"/>
      <c r="E4" s="136"/>
      <c r="F4" s="136"/>
      <c r="G4" s="161"/>
      <c r="H4" s="161"/>
      <c r="I4" s="161"/>
      <c r="J4" s="161"/>
      <c r="K4" s="161"/>
      <c r="L4" s="161"/>
      <c r="M4" s="161"/>
      <c r="P4" s="142"/>
      <c r="Q4" s="142"/>
    </row>
    <row r="5" spans="1:21" x14ac:dyDescent="0.3">
      <c r="A5" s="140"/>
      <c r="B5" s="136"/>
      <c r="C5" s="136"/>
      <c r="D5" s="140"/>
      <c r="E5" s="136"/>
      <c r="F5" s="136"/>
      <c r="G5" s="161"/>
      <c r="H5" s="161"/>
      <c r="I5" s="161"/>
      <c r="J5" s="161"/>
      <c r="K5" s="161"/>
      <c r="L5" s="161"/>
      <c r="M5" s="161"/>
      <c r="O5" s="162" t="s">
        <v>62</v>
      </c>
      <c r="P5" s="162" t="s">
        <v>42</v>
      </c>
      <c r="Q5" s="162" t="s">
        <v>41</v>
      </c>
      <c r="R5" s="162" t="s">
        <v>63</v>
      </c>
      <c r="S5" s="162" t="s">
        <v>56</v>
      </c>
      <c r="T5" s="162" t="s">
        <v>45</v>
      </c>
    </row>
    <row r="6" spans="1:21" ht="41.4" x14ac:dyDescent="0.3">
      <c r="A6" s="140"/>
      <c r="B6" s="136"/>
      <c r="C6" s="136"/>
      <c r="D6" s="140"/>
      <c r="E6" s="136"/>
      <c r="F6" s="163" t="s">
        <v>115</v>
      </c>
      <c r="G6" s="136" t="s">
        <v>2</v>
      </c>
      <c r="H6" s="136" t="s">
        <v>3</v>
      </c>
      <c r="I6" s="163" t="s">
        <v>136</v>
      </c>
      <c r="J6" s="161" t="s">
        <v>135</v>
      </c>
      <c r="K6" s="161" t="s">
        <v>135</v>
      </c>
      <c r="L6" s="161"/>
      <c r="M6" s="161"/>
      <c r="O6" s="164">
        <v>0.25929999999999997</v>
      </c>
      <c r="P6" s="164">
        <v>0.1263</v>
      </c>
      <c r="Q6" s="131">
        <v>0.03</v>
      </c>
      <c r="R6" s="131">
        <v>0.12809999999999999</v>
      </c>
      <c r="S6" s="131">
        <v>2.2000000000000001E-3</v>
      </c>
      <c r="T6" s="131">
        <v>2.4399999999999998E-2</v>
      </c>
    </row>
    <row r="7" spans="1:21" x14ac:dyDescent="0.3">
      <c r="A7" s="140" t="s">
        <v>5</v>
      </c>
      <c r="B7" s="136" t="s">
        <v>6</v>
      </c>
      <c r="C7" s="136" t="s">
        <v>7</v>
      </c>
      <c r="D7" s="140" t="s">
        <v>125</v>
      </c>
      <c r="E7" s="136" t="s">
        <v>9</v>
      </c>
      <c r="F7" s="136" t="s">
        <v>114</v>
      </c>
      <c r="G7" s="136" t="s">
        <v>10</v>
      </c>
      <c r="H7" s="136" t="s">
        <v>11</v>
      </c>
      <c r="I7" s="161" t="s">
        <v>12</v>
      </c>
      <c r="J7" s="161" t="s">
        <v>4</v>
      </c>
      <c r="K7" s="161" t="s">
        <v>134</v>
      </c>
      <c r="L7" s="161" t="s">
        <v>154</v>
      </c>
      <c r="M7" s="161" t="s">
        <v>141</v>
      </c>
    </row>
    <row r="8" spans="1:21" ht="4.95" customHeight="1" x14ac:dyDescent="0.3">
      <c r="A8" s="165"/>
      <c r="B8" s="129"/>
      <c r="C8" s="138"/>
      <c r="D8" s="165"/>
      <c r="E8" s="129"/>
      <c r="F8" s="129"/>
      <c r="G8" s="138"/>
      <c r="H8" s="138"/>
      <c r="I8" s="138"/>
      <c r="J8" s="138" t="s">
        <v>13</v>
      </c>
      <c r="K8" s="138" t="s">
        <v>13</v>
      </c>
      <c r="L8" s="138"/>
      <c r="M8" s="138"/>
    </row>
    <row r="9" spans="1:21" x14ac:dyDescent="0.3">
      <c r="A9" s="132" t="s">
        <v>14</v>
      </c>
      <c r="B9" s="129">
        <v>2</v>
      </c>
      <c r="C9" s="129" t="s">
        <v>15</v>
      </c>
      <c r="D9" s="132" t="s">
        <v>16</v>
      </c>
      <c r="E9" s="129" t="s">
        <v>17</v>
      </c>
      <c r="F9" s="130">
        <v>51.339999999999996</v>
      </c>
      <c r="G9" s="130">
        <v>45.51</v>
      </c>
      <c r="H9" s="130">
        <v>5.83</v>
      </c>
      <c r="I9" s="130">
        <v>25.96</v>
      </c>
      <c r="J9" s="130">
        <v>31.79</v>
      </c>
      <c r="K9" s="130">
        <v>77.3</v>
      </c>
      <c r="L9" s="130">
        <v>2.5960000000000001</v>
      </c>
      <c r="M9" s="130">
        <v>3.8940000000000001</v>
      </c>
      <c r="N9" s="166"/>
      <c r="O9" s="167">
        <v>11.800742999999999</v>
      </c>
      <c r="P9" s="167">
        <v>5.7479129999999996</v>
      </c>
      <c r="Q9" s="167">
        <v>1.3653</v>
      </c>
      <c r="R9" s="167">
        <v>5.8298309999999995</v>
      </c>
      <c r="S9" s="167">
        <v>0.100122</v>
      </c>
      <c r="T9" s="167">
        <v>1.1104439999999998</v>
      </c>
      <c r="U9" s="167"/>
    </row>
    <row r="10" spans="1:21" x14ac:dyDescent="0.3">
      <c r="A10" s="132" t="s">
        <v>14</v>
      </c>
      <c r="B10" s="129">
        <v>2</v>
      </c>
      <c r="C10" s="129" t="s">
        <v>18</v>
      </c>
      <c r="D10" s="132" t="s">
        <v>19</v>
      </c>
      <c r="E10" s="129" t="s">
        <v>17</v>
      </c>
      <c r="F10" s="130">
        <v>54.679006999999999</v>
      </c>
      <c r="G10" s="130">
        <v>48.47</v>
      </c>
      <c r="H10" s="130">
        <v>6.2090069999999997</v>
      </c>
      <c r="I10" s="130">
        <v>27.642440999999998</v>
      </c>
      <c r="J10" s="130">
        <v>33.851447999999998</v>
      </c>
      <c r="K10" s="130">
        <v>82.321448000000004</v>
      </c>
      <c r="L10" s="130">
        <v>2.7642441</v>
      </c>
      <c r="M10" s="130">
        <v>4.1463661499999995</v>
      </c>
      <c r="O10" s="167">
        <v>12.568270999999999</v>
      </c>
      <c r="P10" s="167">
        <v>6.1217609999999993</v>
      </c>
      <c r="Q10" s="167">
        <v>1.4540999999999999</v>
      </c>
      <c r="R10" s="167">
        <v>6.2090069999999997</v>
      </c>
      <c r="S10" s="167">
        <v>0.10663400000000001</v>
      </c>
      <c r="T10" s="167">
        <v>1.1826679999999998</v>
      </c>
      <c r="U10" s="167"/>
    </row>
    <row r="11" spans="1:21" x14ac:dyDescent="0.3">
      <c r="A11" s="132" t="s">
        <v>14</v>
      </c>
      <c r="B11" s="129">
        <v>2</v>
      </c>
      <c r="C11" s="129" t="s">
        <v>20</v>
      </c>
      <c r="D11" s="132" t="s">
        <v>21</v>
      </c>
      <c r="E11" s="129" t="s">
        <v>17</v>
      </c>
      <c r="F11" s="130">
        <v>56.472686000000003</v>
      </c>
      <c r="G11" s="130">
        <v>50.06</v>
      </c>
      <c r="H11" s="130">
        <v>6.4126859999999999</v>
      </c>
      <c r="I11" s="130">
        <v>28.549218</v>
      </c>
      <c r="J11" s="130">
        <v>34.961903999999997</v>
      </c>
      <c r="K11" s="130">
        <v>85.021904000000006</v>
      </c>
      <c r="L11" s="130">
        <v>2.8549218000000001</v>
      </c>
      <c r="M11" s="130">
        <v>4.2823826999999994</v>
      </c>
      <c r="O11" s="167">
        <v>12.980557999999998</v>
      </c>
      <c r="P11" s="167">
        <v>6.322578</v>
      </c>
      <c r="Q11" s="167">
        <v>1.5018</v>
      </c>
      <c r="R11" s="167">
        <v>6.4126859999999999</v>
      </c>
      <c r="S11" s="167">
        <v>0.11013200000000001</v>
      </c>
      <c r="T11" s="167">
        <v>1.2214639999999999</v>
      </c>
      <c r="U11" s="167"/>
    </row>
    <row r="12" spans="1:21" x14ac:dyDescent="0.3">
      <c r="A12" s="132" t="s">
        <v>14</v>
      </c>
      <c r="B12" s="129">
        <v>2</v>
      </c>
      <c r="C12" s="129" t="s">
        <v>104</v>
      </c>
      <c r="D12" s="132" t="s">
        <v>101</v>
      </c>
      <c r="E12" s="129" t="s">
        <v>17</v>
      </c>
      <c r="F12" s="130">
        <v>52.47</v>
      </c>
      <c r="G12" s="130">
        <v>46.51</v>
      </c>
      <c r="H12" s="130">
        <v>5.96</v>
      </c>
      <c r="I12" s="130">
        <v>26.52</v>
      </c>
      <c r="J12" s="130">
        <v>32.479999999999997</v>
      </c>
      <c r="K12" s="130">
        <v>78.989999999999995</v>
      </c>
      <c r="L12" s="130">
        <v>2.6520000000000001</v>
      </c>
      <c r="M12" s="130">
        <v>3.9779999999999998</v>
      </c>
      <c r="O12" s="167">
        <v>12.060042999999999</v>
      </c>
      <c r="P12" s="167">
        <v>5.8742129999999992</v>
      </c>
      <c r="Q12" s="167">
        <v>1.3953</v>
      </c>
      <c r="R12" s="167">
        <v>5.9579309999999994</v>
      </c>
      <c r="S12" s="167">
        <v>0.102322</v>
      </c>
      <c r="T12" s="167">
        <v>1.134844</v>
      </c>
      <c r="U12" s="167"/>
    </row>
    <row r="13" spans="1:21" ht="4.95" customHeight="1" x14ac:dyDescent="0.3">
      <c r="A13" s="132"/>
      <c r="B13" s="129"/>
      <c r="C13" s="129"/>
      <c r="D13" s="132"/>
      <c r="E13" s="129"/>
      <c r="F13" s="129"/>
      <c r="G13" s="130"/>
      <c r="H13" s="130"/>
      <c r="I13" s="130"/>
      <c r="J13" s="130"/>
      <c r="K13" s="130"/>
      <c r="L13" s="130"/>
      <c r="M13" s="130"/>
      <c r="O13" s="167"/>
      <c r="P13" s="167"/>
      <c r="Q13" s="167"/>
      <c r="R13" s="167"/>
      <c r="S13" s="167"/>
      <c r="T13" s="167"/>
      <c r="U13" s="167"/>
    </row>
    <row r="14" spans="1:21" ht="6.6" customHeight="1" x14ac:dyDescent="0.3">
      <c r="A14" s="132"/>
      <c r="B14" s="129"/>
      <c r="C14" s="129"/>
      <c r="D14" s="132"/>
      <c r="E14" s="129"/>
      <c r="F14" s="129"/>
      <c r="G14" s="129"/>
      <c r="H14" s="129"/>
      <c r="I14" s="130"/>
      <c r="J14" s="130"/>
      <c r="K14" s="130"/>
      <c r="L14" s="130"/>
      <c r="M14" s="130"/>
    </row>
    <row r="15" spans="1:21" x14ac:dyDescent="0.3">
      <c r="A15" s="134"/>
      <c r="B15" s="140" t="s">
        <v>22</v>
      </c>
      <c r="C15" s="136"/>
      <c r="D15" s="132"/>
      <c r="E15" s="129"/>
      <c r="F15" s="129"/>
      <c r="G15" s="130"/>
      <c r="H15" s="130"/>
      <c r="I15" s="130"/>
      <c r="J15" s="130"/>
      <c r="K15" s="130"/>
      <c r="L15" s="130"/>
      <c r="M15" s="130"/>
      <c r="O15" s="131" t="s">
        <v>109</v>
      </c>
    </row>
    <row r="16" spans="1:21" x14ac:dyDescent="0.3">
      <c r="A16" s="132" t="s">
        <v>14</v>
      </c>
      <c r="B16" s="129">
        <v>2</v>
      </c>
      <c r="C16" s="129" t="s">
        <v>15</v>
      </c>
      <c r="D16" s="132" t="s">
        <v>16</v>
      </c>
      <c r="E16" s="129" t="s">
        <v>17</v>
      </c>
      <c r="F16" s="130">
        <v>77.009999999999991</v>
      </c>
      <c r="G16" s="130">
        <v>68.265000000000001</v>
      </c>
      <c r="H16" s="130">
        <v>8.745000000000001</v>
      </c>
      <c r="I16" s="130">
        <v>33.031157999999998</v>
      </c>
      <c r="J16" s="130">
        <v>41.776157999999995</v>
      </c>
      <c r="K16" s="130">
        <v>110.041158</v>
      </c>
      <c r="L16" s="130"/>
      <c r="M16" s="130"/>
      <c r="O16" s="167">
        <v>11.800742999999999</v>
      </c>
      <c r="P16" s="167">
        <v>8.621869499999999</v>
      </c>
      <c r="Q16" s="167">
        <v>2.0479500000000002</v>
      </c>
      <c r="R16" s="167">
        <v>8.7447464999999998</v>
      </c>
      <c r="S16" s="167">
        <v>0.15018300000000001</v>
      </c>
      <c r="T16" s="167">
        <v>1.6656659999999996</v>
      </c>
      <c r="U16" s="167"/>
    </row>
    <row r="17" spans="1:21" x14ac:dyDescent="0.3">
      <c r="A17" s="132" t="s">
        <v>14</v>
      </c>
      <c r="B17" s="129">
        <v>2</v>
      </c>
      <c r="C17" s="129" t="s">
        <v>18</v>
      </c>
      <c r="D17" s="132" t="s">
        <v>23</v>
      </c>
      <c r="E17" s="129" t="s">
        <v>17</v>
      </c>
      <c r="F17" s="130">
        <v>82.018510499999991</v>
      </c>
      <c r="G17" s="130">
        <v>72.704999999999998</v>
      </c>
      <c r="H17" s="130">
        <v>9.3135104999999996</v>
      </c>
      <c r="I17" s="130">
        <v>35.179525999999996</v>
      </c>
      <c r="J17" s="130">
        <v>44.493036499999995</v>
      </c>
      <c r="K17" s="130">
        <v>117.1980365</v>
      </c>
      <c r="L17" s="130"/>
      <c r="M17" s="130"/>
      <c r="O17" s="167">
        <v>12.568270999999999</v>
      </c>
      <c r="P17" s="167">
        <v>9.182641499999999</v>
      </c>
      <c r="Q17" s="167">
        <v>2.1811499999999997</v>
      </c>
      <c r="R17" s="167">
        <v>9.3135104999999996</v>
      </c>
      <c r="S17" s="167">
        <v>0.15995100000000001</v>
      </c>
      <c r="T17" s="167">
        <v>1.7740019999999999</v>
      </c>
      <c r="U17" s="167"/>
    </row>
    <row r="18" spans="1:21" x14ac:dyDescent="0.3">
      <c r="A18" s="132" t="s">
        <v>14</v>
      </c>
      <c r="B18" s="129">
        <v>2</v>
      </c>
      <c r="C18" s="129" t="s">
        <v>20</v>
      </c>
      <c r="D18" s="132" t="s">
        <v>21</v>
      </c>
      <c r="E18" s="129" t="s">
        <v>17</v>
      </c>
      <c r="F18" s="130">
        <v>84.709029000000001</v>
      </c>
      <c r="G18" s="130">
        <v>75.09</v>
      </c>
      <c r="H18" s="130">
        <v>9.6190289999999994</v>
      </c>
      <c r="I18" s="130">
        <v>36.333547999999993</v>
      </c>
      <c r="J18" s="130">
        <v>45.952576999999991</v>
      </c>
      <c r="K18" s="130">
        <v>121.04257699999999</v>
      </c>
      <c r="L18" s="130"/>
      <c r="M18" s="130"/>
      <c r="O18" s="167">
        <v>12.980557999999998</v>
      </c>
      <c r="P18" s="167">
        <v>9.483867</v>
      </c>
      <c r="Q18" s="167">
        <v>2.2526999999999999</v>
      </c>
      <c r="R18" s="167">
        <v>9.6190289999999994</v>
      </c>
      <c r="S18" s="167">
        <v>0.16519800000000001</v>
      </c>
      <c r="T18" s="167">
        <v>1.8321959999999997</v>
      </c>
      <c r="U18" s="167"/>
    </row>
    <row r="19" spans="1:21" x14ac:dyDescent="0.3">
      <c r="A19" s="132" t="s">
        <v>14</v>
      </c>
      <c r="B19" s="129">
        <v>2</v>
      </c>
      <c r="C19" s="129" t="s">
        <v>104</v>
      </c>
      <c r="D19" s="132" t="s">
        <v>101</v>
      </c>
      <c r="E19" s="129" t="s">
        <v>17</v>
      </c>
      <c r="F19" s="130">
        <v>78.704999999999998</v>
      </c>
      <c r="G19" s="130">
        <v>69.765000000000001</v>
      </c>
      <c r="H19" s="130">
        <v>8.94</v>
      </c>
      <c r="I19" s="130">
        <v>33.756958000000004</v>
      </c>
      <c r="J19" s="130">
        <v>42.696958000000002</v>
      </c>
      <c r="K19" s="130">
        <v>112.46195800000001</v>
      </c>
      <c r="L19" s="130"/>
      <c r="M19" s="130"/>
      <c r="O19" s="167">
        <v>12.060042999999999</v>
      </c>
      <c r="P19" s="167">
        <v>8.8113194999999997</v>
      </c>
      <c r="Q19" s="167">
        <v>2.0929500000000001</v>
      </c>
      <c r="R19" s="167">
        <v>8.9368964999999996</v>
      </c>
      <c r="S19" s="167">
        <v>0.15348299999999998</v>
      </c>
      <c r="T19" s="167">
        <v>1.7022659999999998</v>
      </c>
      <c r="U19" s="167"/>
    </row>
    <row r="20" spans="1:21" ht="4.95" customHeight="1" x14ac:dyDescent="0.3">
      <c r="A20" s="158"/>
      <c r="B20" s="159"/>
      <c r="C20" s="159"/>
      <c r="D20" s="158"/>
      <c r="E20" s="159"/>
      <c r="F20" s="159"/>
      <c r="G20" s="160"/>
      <c r="H20" s="160"/>
      <c r="I20" s="160"/>
      <c r="J20" s="160"/>
      <c r="K20" s="160"/>
      <c r="L20" s="160"/>
      <c r="M20" s="160"/>
    </row>
    <row r="21" spans="1:21" x14ac:dyDescent="0.3">
      <c r="A21" s="158"/>
      <c r="B21" s="140" t="s">
        <v>121</v>
      </c>
      <c r="C21" s="159"/>
      <c r="D21" s="158"/>
      <c r="E21" s="159"/>
      <c r="F21" s="159"/>
      <c r="G21" s="160"/>
      <c r="H21" s="160"/>
      <c r="I21" s="160"/>
      <c r="J21" s="160"/>
      <c r="K21" s="160"/>
      <c r="L21" s="160"/>
      <c r="M21" s="160"/>
    </row>
    <row r="22" spans="1:21" x14ac:dyDescent="0.3">
      <c r="A22" s="158"/>
      <c r="B22" s="132" t="s">
        <v>158</v>
      </c>
      <c r="C22" s="159"/>
      <c r="D22" s="158"/>
      <c r="E22" s="159"/>
      <c r="F22" s="159"/>
      <c r="G22" s="160"/>
      <c r="H22" s="160"/>
      <c r="I22" s="160"/>
      <c r="J22" s="160"/>
      <c r="K22" s="160"/>
      <c r="L22" s="160"/>
      <c r="M22" s="160"/>
    </row>
    <row r="23" spans="1:21" ht="4.95" customHeight="1" x14ac:dyDescent="0.3">
      <c r="A23" s="158"/>
      <c r="B23" s="129"/>
      <c r="C23" s="159"/>
      <c r="D23" s="158"/>
      <c r="E23" s="159"/>
      <c r="F23" s="159"/>
      <c r="G23" s="160"/>
      <c r="H23" s="160"/>
      <c r="I23" s="160"/>
      <c r="J23" s="160"/>
      <c r="K23" s="160"/>
      <c r="L23" s="160"/>
      <c r="M23" s="160"/>
    </row>
    <row r="24" spans="1:21" x14ac:dyDescent="0.3">
      <c r="A24" s="158"/>
      <c r="B24" s="140" t="s">
        <v>120</v>
      </c>
      <c r="C24" s="159"/>
      <c r="D24" s="158"/>
      <c r="E24" s="159"/>
      <c r="F24" s="159"/>
      <c r="G24" s="160"/>
      <c r="H24" s="160"/>
      <c r="I24" s="160"/>
      <c r="J24" s="160"/>
      <c r="K24" s="160"/>
      <c r="L24" s="160"/>
      <c r="M24" s="160"/>
    </row>
    <row r="25" spans="1:21" x14ac:dyDescent="0.3">
      <c r="A25" s="168"/>
      <c r="B25" s="132" t="s">
        <v>117</v>
      </c>
      <c r="C25" s="159"/>
      <c r="E25" s="159"/>
      <c r="F25" s="159"/>
      <c r="G25" s="159"/>
      <c r="H25" s="159"/>
      <c r="I25" s="160"/>
      <c r="J25" s="160"/>
      <c r="K25" s="160"/>
      <c r="L25" s="160"/>
      <c r="M25" s="160"/>
    </row>
    <row r="26" spans="1:21" x14ac:dyDescent="0.3">
      <c r="A26" s="168"/>
      <c r="B26" s="132" t="s">
        <v>118</v>
      </c>
      <c r="C26" s="159"/>
      <c r="E26" s="159"/>
      <c r="F26" s="159"/>
      <c r="G26" s="159"/>
      <c r="H26" s="159"/>
      <c r="I26" s="160"/>
      <c r="J26" s="160"/>
      <c r="K26" s="160"/>
      <c r="L26" s="160"/>
      <c r="M26" s="160"/>
    </row>
    <row r="27" spans="1:21" ht="7.2" customHeight="1" x14ac:dyDescent="0.3">
      <c r="A27" s="168"/>
      <c r="B27" s="132"/>
      <c r="C27" s="159"/>
      <c r="E27" s="159"/>
      <c r="F27" s="159"/>
      <c r="G27" s="159"/>
      <c r="H27" s="159"/>
      <c r="I27" s="160"/>
      <c r="J27" s="160"/>
      <c r="K27" s="160"/>
      <c r="L27" s="160"/>
      <c r="M27" s="160"/>
    </row>
    <row r="28" spans="1:21" ht="6" customHeight="1" x14ac:dyDescent="0.3">
      <c r="A28" s="168"/>
      <c r="B28" s="129"/>
      <c r="C28" s="168"/>
      <c r="D28" s="168"/>
      <c r="E28" s="169"/>
      <c r="F28" s="169"/>
      <c r="G28" s="168"/>
      <c r="H28" s="168"/>
      <c r="I28" s="169"/>
      <c r="J28" s="169"/>
      <c r="K28" s="169"/>
      <c r="L28" s="169"/>
      <c r="M28" s="169"/>
    </row>
    <row r="29" spans="1:21" x14ac:dyDescent="0.3">
      <c r="B29" s="157" t="s">
        <v>65</v>
      </c>
      <c r="C29" s="159"/>
    </row>
    <row r="30" spans="1:21" x14ac:dyDescent="0.3">
      <c r="B30" s="132" t="s">
        <v>126</v>
      </c>
      <c r="C30" s="132"/>
      <c r="D30" s="132"/>
      <c r="E30" s="132"/>
      <c r="F30" s="132"/>
    </row>
    <row r="31" spans="1:21" x14ac:dyDescent="0.3">
      <c r="B31" s="132" t="s">
        <v>127</v>
      </c>
      <c r="C31" s="132"/>
      <c r="D31" s="132"/>
      <c r="E31" s="132"/>
      <c r="F31" s="132"/>
    </row>
    <row r="32" spans="1:21" x14ac:dyDescent="0.3">
      <c r="B32" s="132" t="s">
        <v>128</v>
      </c>
      <c r="C32" s="132"/>
      <c r="D32" s="132"/>
      <c r="E32" s="132"/>
      <c r="F32" s="132"/>
    </row>
    <row r="33" spans="2:9" x14ac:dyDescent="0.3">
      <c r="B33" s="132" t="s">
        <v>130</v>
      </c>
      <c r="C33" s="132"/>
      <c r="D33" s="132"/>
      <c r="E33" s="132"/>
      <c r="F33" s="132"/>
    </row>
    <row r="34" spans="2:9" x14ac:dyDescent="0.3">
      <c r="B34" s="132" t="s">
        <v>129</v>
      </c>
      <c r="C34" s="132"/>
      <c r="D34" s="132"/>
      <c r="E34" s="132"/>
      <c r="F34" s="132"/>
    </row>
    <row r="35" spans="2:9" ht="4.95" customHeight="1" x14ac:dyDescent="0.3">
      <c r="B35" s="132"/>
      <c r="C35" s="132"/>
      <c r="D35" s="132"/>
      <c r="E35" s="132"/>
      <c r="F35" s="132"/>
    </row>
    <row r="36" spans="2:9" x14ac:dyDescent="0.3">
      <c r="B36" s="170" t="s">
        <v>116</v>
      </c>
      <c r="C36" s="171"/>
    </row>
    <row r="37" spans="2:9" x14ac:dyDescent="0.3">
      <c r="B37" s="131" t="s">
        <v>107</v>
      </c>
      <c r="D37" s="142"/>
    </row>
    <row r="38" spans="2:9" x14ac:dyDescent="0.3">
      <c r="B38" s="131" t="s">
        <v>108</v>
      </c>
    </row>
    <row r="39" spans="2:9" ht="14.4" thickBot="1" x14ac:dyDescent="0.35"/>
    <row r="40" spans="2:9" x14ac:dyDescent="0.3">
      <c r="B40" s="143" t="s">
        <v>119</v>
      </c>
      <c r="C40" s="144"/>
      <c r="D40" s="144"/>
      <c r="E40" s="144"/>
      <c r="F40" s="144"/>
      <c r="G40" s="144"/>
      <c r="H40" s="144"/>
      <c r="I40" s="146"/>
    </row>
    <row r="41" spans="2:9" x14ac:dyDescent="0.3">
      <c r="B41" s="147" t="s">
        <v>138</v>
      </c>
      <c r="I41" s="148"/>
    </row>
    <row r="42" spans="2:9" x14ac:dyDescent="0.3">
      <c r="B42" s="147" t="s">
        <v>151</v>
      </c>
      <c r="I42" s="148"/>
    </row>
    <row r="43" spans="2:9" x14ac:dyDescent="0.3">
      <c r="B43" s="147"/>
      <c r="I43" s="148"/>
    </row>
    <row r="44" spans="2:9" x14ac:dyDescent="0.3">
      <c r="B44" s="149" t="s">
        <v>147</v>
      </c>
      <c r="C44" s="142" t="s">
        <v>148</v>
      </c>
      <c r="D44" s="142"/>
      <c r="E44" s="142"/>
      <c r="F44" s="142" t="s">
        <v>149</v>
      </c>
      <c r="G44" s="142"/>
      <c r="I44" s="148"/>
    </row>
    <row r="45" spans="2:9" x14ac:dyDescent="0.3">
      <c r="B45" s="147" t="s">
        <v>139</v>
      </c>
      <c r="C45" s="131" t="s">
        <v>142</v>
      </c>
      <c r="F45" s="131" t="s">
        <v>145</v>
      </c>
      <c r="I45" s="148"/>
    </row>
    <row r="46" spans="2:9" x14ac:dyDescent="0.3">
      <c r="B46" s="147"/>
      <c r="I46" s="148"/>
    </row>
    <row r="47" spans="2:9" x14ac:dyDescent="0.3">
      <c r="B47" s="147" t="s">
        <v>140</v>
      </c>
      <c r="C47" s="151" t="s">
        <v>144</v>
      </c>
      <c r="F47" s="131" t="s">
        <v>153</v>
      </c>
      <c r="I47" s="148"/>
    </row>
    <row r="48" spans="2:9" x14ac:dyDescent="0.3">
      <c r="B48" s="147"/>
      <c r="I48" s="148"/>
    </row>
    <row r="49" spans="2:9" ht="14.4" thickBot="1" x14ac:dyDescent="0.35">
      <c r="B49" s="152" t="s">
        <v>141</v>
      </c>
      <c r="C49" s="153" t="s">
        <v>143</v>
      </c>
      <c r="D49" s="155"/>
      <c r="E49" s="155"/>
      <c r="F49" s="155" t="s">
        <v>152</v>
      </c>
      <c r="G49" s="155"/>
      <c r="H49" s="155"/>
      <c r="I49" s="156"/>
    </row>
  </sheetData>
  <pageMargins left="0.25" right="0.25" top="0.75" bottom="0.75" header="0.3" footer="0.3"/>
  <pageSetup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C1:H21"/>
  <sheetViews>
    <sheetView workbookViewId="0">
      <selection activeCell="E4" sqref="E4"/>
    </sheetView>
  </sheetViews>
  <sheetFormatPr defaultColWidth="9.109375" defaultRowHeight="13.2" x14ac:dyDescent="0.25"/>
  <cols>
    <col min="3" max="3" width="20.109375" customWidth="1"/>
    <col min="5" max="5" width="11.109375" customWidth="1"/>
    <col min="6" max="6" width="13.33203125" bestFit="1" customWidth="1"/>
  </cols>
  <sheetData>
    <row r="1" spans="3:8" x14ac:dyDescent="0.25">
      <c r="E1" t="s">
        <v>47</v>
      </c>
      <c r="F1" t="s">
        <v>100</v>
      </c>
      <c r="G1" t="s">
        <v>48</v>
      </c>
      <c r="H1" t="s">
        <v>49</v>
      </c>
    </row>
    <row r="2" spans="3:8" x14ac:dyDescent="0.25">
      <c r="C2" s="74">
        <v>2015</v>
      </c>
      <c r="D2" t="s">
        <v>46</v>
      </c>
      <c r="E2" s="30">
        <v>37.909999999999997</v>
      </c>
      <c r="F2" s="30">
        <v>38.909999999999997</v>
      </c>
      <c r="G2" s="74">
        <v>40.369999999999997</v>
      </c>
      <c r="H2" s="74">
        <v>41.7</v>
      </c>
    </row>
    <row r="4" spans="3:8" x14ac:dyDescent="0.25">
      <c r="C4" t="s">
        <v>41</v>
      </c>
      <c r="D4" s="30">
        <v>3</v>
      </c>
      <c r="E4" s="22">
        <f>ROUND($E$2*(D4/100),2)</f>
        <v>1.1399999999999999</v>
      </c>
      <c r="F4" s="22">
        <f>ROUND($F$2*(D4/100),2)</f>
        <v>1.17</v>
      </c>
      <c r="G4" s="22">
        <f t="shared" ref="G4:G9" si="0">$G$2*(D4/100)</f>
        <v>1.2110999999999998</v>
      </c>
      <c r="H4" s="22">
        <f t="shared" ref="H4:H9" si="1">$H$2*(D4/100)</f>
        <v>1.2510000000000001</v>
      </c>
    </row>
    <row r="5" spans="3:8" x14ac:dyDescent="0.25">
      <c r="C5" t="s">
        <v>42</v>
      </c>
      <c r="D5" s="30">
        <v>13.98</v>
      </c>
      <c r="E5" s="22">
        <f t="shared" ref="E5:E9" si="2">ROUND($E$2*(D5/100),2)</f>
        <v>5.3</v>
      </c>
      <c r="F5" s="22">
        <f t="shared" ref="F5:F12" si="3">ROUND($F$2*(D5/100),2)</f>
        <v>5.44</v>
      </c>
      <c r="G5" s="22">
        <f t="shared" si="0"/>
        <v>5.643726</v>
      </c>
      <c r="H5" s="22">
        <f t="shared" si="1"/>
        <v>5.8296600000000005</v>
      </c>
    </row>
    <row r="6" spans="3:8" x14ac:dyDescent="0.25">
      <c r="C6" t="s">
        <v>43</v>
      </c>
      <c r="D6" s="30">
        <v>13.19</v>
      </c>
      <c r="E6" s="23">
        <f t="shared" si="2"/>
        <v>5</v>
      </c>
      <c r="F6" s="22">
        <f t="shared" si="3"/>
        <v>5.13</v>
      </c>
      <c r="G6" s="22">
        <f t="shared" si="0"/>
        <v>5.3248029999999993</v>
      </c>
      <c r="H6" s="22">
        <f t="shared" si="1"/>
        <v>5.5002300000000002</v>
      </c>
    </row>
    <row r="7" spans="3:8" x14ac:dyDescent="0.25">
      <c r="C7" t="s">
        <v>44</v>
      </c>
      <c r="D7" s="30">
        <v>24.4</v>
      </c>
      <c r="E7" s="23">
        <f t="shared" si="2"/>
        <v>9.25</v>
      </c>
      <c r="F7" s="22">
        <f t="shared" si="3"/>
        <v>9.49</v>
      </c>
      <c r="G7" s="22">
        <f t="shared" si="0"/>
        <v>9.8502799999999997</v>
      </c>
      <c r="H7" s="22">
        <f t="shared" si="1"/>
        <v>10.174800000000001</v>
      </c>
    </row>
    <row r="8" spans="3:8" x14ac:dyDescent="0.25">
      <c r="C8" t="s">
        <v>45</v>
      </c>
      <c r="D8" s="30">
        <v>2.4</v>
      </c>
      <c r="E8" s="23">
        <f t="shared" si="2"/>
        <v>0.91</v>
      </c>
      <c r="F8" s="22">
        <f t="shared" si="3"/>
        <v>0.93</v>
      </c>
      <c r="G8" s="22">
        <f t="shared" si="0"/>
        <v>0.96887999999999996</v>
      </c>
      <c r="H8" s="22">
        <f t="shared" si="1"/>
        <v>1.0008000000000001</v>
      </c>
    </row>
    <row r="9" spans="3:8" x14ac:dyDescent="0.25">
      <c r="C9" t="s">
        <v>56</v>
      </c>
      <c r="D9" s="30">
        <v>0.24</v>
      </c>
      <c r="E9" s="23">
        <f t="shared" si="2"/>
        <v>0.09</v>
      </c>
      <c r="F9" s="22">
        <f t="shared" si="3"/>
        <v>0.09</v>
      </c>
      <c r="G9" s="22">
        <f t="shared" si="0"/>
        <v>9.6887999999999988E-2</v>
      </c>
      <c r="H9" s="22">
        <f t="shared" si="1"/>
        <v>0.10008</v>
      </c>
    </row>
    <row r="10" spans="3:8" x14ac:dyDescent="0.25">
      <c r="C10" t="s">
        <v>50</v>
      </c>
      <c r="D10" s="21"/>
      <c r="E10" s="23">
        <f>SUM(E4:E9)</f>
        <v>21.689999999999998</v>
      </c>
      <c r="F10" s="23">
        <f>SUM(F4:F9)</f>
        <v>22.25</v>
      </c>
      <c r="G10" s="22">
        <f>SUM(G4:G9)</f>
        <v>23.095676999999995</v>
      </c>
      <c r="H10" s="22">
        <f>SUM(H4:H9)</f>
        <v>23.856570000000001</v>
      </c>
    </row>
    <row r="11" spans="3:8" x14ac:dyDescent="0.25">
      <c r="D11" s="21"/>
      <c r="E11" s="22"/>
      <c r="F11" s="22"/>
      <c r="G11" s="22"/>
      <c r="H11" s="22"/>
    </row>
    <row r="12" spans="3:8" x14ac:dyDescent="0.25">
      <c r="C12" t="s">
        <v>11</v>
      </c>
      <c r="D12" s="30">
        <v>13.45</v>
      </c>
      <c r="E12" s="22">
        <f>ROUND($E$2*($D12/100),2)</f>
        <v>5.0999999999999996</v>
      </c>
      <c r="F12" s="22">
        <f t="shared" si="3"/>
        <v>5.23</v>
      </c>
      <c r="G12" s="22">
        <f>$G$2*(D12/100)</f>
        <v>5.4297649999999988</v>
      </c>
      <c r="H12" s="22">
        <f>$H$2*(D12/100)</f>
        <v>5.6086499999999999</v>
      </c>
    </row>
    <row r="13" spans="3:8" x14ac:dyDescent="0.25">
      <c r="E13" s="22">
        <f>ROUND(E10+E12,2)</f>
        <v>26.79</v>
      </c>
      <c r="F13" s="22">
        <f>ROUND(F10+F12,2)</f>
        <v>27.48</v>
      </c>
      <c r="G13" s="21">
        <f>G10+G12</f>
        <v>28.525441999999995</v>
      </c>
      <c r="H13" s="21">
        <f>H10+H12</f>
        <v>29.465220000000002</v>
      </c>
    </row>
    <row r="14" spans="3:8" x14ac:dyDescent="0.25">
      <c r="E14" s="21">
        <f>E2+E13</f>
        <v>64.699999999999989</v>
      </c>
    </row>
    <row r="15" spans="3:8" x14ac:dyDescent="0.25">
      <c r="C15" t="s">
        <v>57</v>
      </c>
    </row>
    <row r="21" spans="3:3" x14ac:dyDescent="0.25">
      <c r="C21" t="s">
        <v>106</v>
      </c>
    </row>
  </sheetData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R56"/>
  <sheetViews>
    <sheetView topLeftCell="A24" workbookViewId="0">
      <selection activeCell="J30" sqref="J30"/>
    </sheetView>
  </sheetViews>
  <sheetFormatPr defaultColWidth="9.109375" defaultRowHeight="13.2" x14ac:dyDescent="0.25"/>
  <cols>
    <col min="4" max="4" width="31.109375" customWidth="1"/>
    <col min="5" max="5" width="2.5546875" bestFit="1" customWidth="1"/>
    <col min="8" max="8" width="9.109375" customWidth="1"/>
    <col min="9" max="9" width="11" bestFit="1" customWidth="1"/>
    <col min="10" max="10" width="13.33203125" bestFit="1" customWidth="1"/>
    <col min="12" max="12" width="14" customWidth="1"/>
    <col min="13" max="13" width="13.109375" customWidth="1"/>
    <col min="15" max="15" width="15.33203125" customWidth="1"/>
  </cols>
  <sheetData>
    <row r="1" spans="1:18" hidden="1" x14ac:dyDescent="0.25">
      <c r="A1" s="4" t="s">
        <v>102</v>
      </c>
    </row>
    <row r="2" spans="1:18" hidden="1" x14ac:dyDescent="0.25">
      <c r="A2" s="4"/>
      <c r="B2" s="4" t="s">
        <v>103</v>
      </c>
      <c r="C2" s="1"/>
      <c r="D2" s="4"/>
      <c r="E2" s="1"/>
      <c r="F2" s="2"/>
      <c r="G2" s="2"/>
    </row>
    <row r="3" spans="1:18" hidden="1" x14ac:dyDescent="0.25">
      <c r="A3" s="4"/>
      <c r="B3" s="4"/>
      <c r="C3" s="1"/>
      <c r="D3" s="4"/>
      <c r="E3" s="1"/>
      <c r="F3" s="2"/>
      <c r="G3" s="2"/>
      <c r="H3" s="3" t="s">
        <v>0</v>
      </c>
      <c r="I3" s="3"/>
      <c r="J3" s="3"/>
      <c r="L3" s="24" t="s">
        <v>61</v>
      </c>
      <c r="M3" s="24"/>
      <c r="N3" s="24"/>
    </row>
    <row r="4" spans="1:18" hidden="1" x14ac:dyDescent="0.25">
      <c r="A4" s="4"/>
      <c r="B4" s="1"/>
      <c r="C4" s="1"/>
      <c r="D4" s="4"/>
      <c r="E4" s="1"/>
      <c r="F4" s="2"/>
      <c r="G4" s="2"/>
      <c r="H4" s="3" t="s">
        <v>1</v>
      </c>
      <c r="I4" s="3"/>
      <c r="J4" s="3"/>
      <c r="L4" s="26" t="s">
        <v>62</v>
      </c>
      <c r="M4" s="26" t="s">
        <v>42</v>
      </c>
      <c r="N4" s="26" t="s">
        <v>41</v>
      </c>
      <c r="O4" s="26" t="s">
        <v>63</v>
      </c>
      <c r="P4" s="26" t="s">
        <v>56</v>
      </c>
      <c r="Q4" s="26" t="s">
        <v>45</v>
      </c>
    </row>
    <row r="5" spans="1:18" hidden="1" x14ac:dyDescent="0.25">
      <c r="A5" s="4"/>
      <c r="B5" s="1"/>
      <c r="C5" s="1"/>
      <c r="D5" s="4"/>
      <c r="E5" s="1"/>
      <c r="F5" s="5" t="s">
        <v>2</v>
      </c>
      <c r="G5" s="5" t="s">
        <v>3</v>
      </c>
      <c r="H5" s="3" t="s">
        <v>4</v>
      </c>
      <c r="I5" s="3" t="s">
        <v>58</v>
      </c>
      <c r="J5" s="3" t="s">
        <v>59</v>
      </c>
      <c r="L5">
        <v>0.28129999999999999</v>
      </c>
      <c r="M5" s="25">
        <v>9.1800000000000007E-2</v>
      </c>
      <c r="N5">
        <v>0.03</v>
      </c>
      <c r="O5">
        <v>0.1376</v>
      </c>
      <c r="P5">
        <v>2.8999999999999998E-3</v>
      </c>
      <c r="Q5">
        <v>2.01E-2</v>
      </c>
    </row>
    <row r="6" spans="1:18" hidden="1" x14ac:dyDescent="0.25">
      <c r="A6" s="4" t="s">
        <v>5</v>
      </c>
      <c r="B6" s="1" t="s">
        <v>6</v>
      </c>
      <c r="C6" s="1" t="s">
        <v>7</v>
      </c>
      <c r="D6" s="4" t="s">
        <v>8</v>
      </c>
      <c r="E6" s="1" t="s">
        <v>9</v>
      </c>
      <c r="F6" s="5" t="s">
        <v>10</v>
      </c>
      <c r="G6" s="5" t="s">
        <v>11</v>
      </c>
      <c r="H6" s="3" t="s">
        <v>12</v>
      </c>
      <c r="I6" s="3"/>
      <c r="J6" s="3"/>
    </row>
    <row r="7" spans="1:18" hidden="1" x14ac:dyDescent="0.25">
      <c r="A7" s="6"/>
      <c r="B7" s="1"/>
      <c r="C7" s="7"/>
      <c r="D7" s="8"/>
      <c r="E7" s="1"/>
      <c r="F7" s="7"/>
      <c r="G7" s="7"/>
      <c r="H7" s="7"/>
      <c r="I7" s="7" t="s">
        <v>13</v>
      </c>
      <c r="J7" s="7" t="s">
        <v>13</v>
      </c>
    </row>
    <row r="8" spans="1:18" hidden="1" x14ac:dyDescent="0.25">
      <c r="A8" s="4" t="s">
        <v>14</v>
      </c>
      <c r="B8" s="1">
        <v>2</v>
      </c>
      <c r="C8" s="1" t="s">
        <v>15</v>
      </c>
      <c r="D8" s="4" t="s">
        <v>16</v>
      </c>
      <c r="E8" s="1" t="s">
        <v>17</v>
      </c>
      <c r="F8" s="2">
        <v>34.299999999999997</v>
      </c>
      <c r="G8" s="2">
        <v>4.8600000000000003</v>
      </c>
      <c r="H8" s="2">
        <v>19.340000000000003</v>
      </c>
      <c r="I8" s="2">
        <v>24.200000000000003</v>
      </c>
      <c r="J8" s="2">
        <v>58.5</v>
      </c>
      <c r="K8" s="27"/>
      <c r="L8" s="22">
        <f>L5*$F$30</f>
        <v>9.6485899999999987</v>
      </c>
      <c r="M8" s="22">
        <f t="shared" ref="M8:Q8" si="0">M5*$F$30</f>
        <v>3.1487400000000001</v>
      </c>
      <c r="N8" s="22">
        <f t="shared" si="0"/>
        <v>1.0289999999999999</v>
      </c>
      <c r="O8" s="22">
        <f t="shared" si="0"/>
        <v>4.7196799999999994</v>
      </c>
      <c r="P8" s="22">
        <f t="shared" si="0"/>
        <v>9.9469999999999989E-2</v>
      </c>
      <c r="Q8" s="22">
        <f t="shared" si="0"/>
        <v>0.68942999999999999</v>
      </c>
      <c r="R8" s="22"/>
    </row>
    <row r="9" spans="1:18" hidden="1" x14ac:dyDescent="0.25">
      <c r="A9" s="4" t="s">
        <v>14</v>
      </c>
      <c r="B9" s="1">
        <v>2</v>
      </c>
      <c r="C9" s="1" t="s">
        <v>18</v>
      </c>
      <c r="D9" s="4" t="s">
        <v>19</v>
      </c>
      <c r="E9" s="1" t="s">
        <v>17</v>
      </c>
      <c r="F9" s="2">
        <v>36.53</v>
      </c>
      <c r="G9" s="2">
        <v>5.1763009999999996</v>
      </c>
      <c r="H9" s="2">
        <v>20.595613999999998</v>
      </c>
      <c r="I9" s="2">
        <v>25.771914999999996</v>
      </c>
      <c r="J9" s="2">
        <v>62.301914999999994</v>
      </c>
      <c r="L9" s="22">
        <f>L5*$F$31</f>
        <v>10.275888999999999</v>
      </c>
      <c r="M9" s="22">
        <f t="shared" ref="M9:Q9" si="1">M5*$F$31</f>
        <v>3.3534540000000002</v>
      </c>
      <c r="N9" s="22">
        <f t="shared" si="1"/>
        <v>1.0959000000000001</v>
      </c>
      <c r="O9" s="22">
        <f t="shared" si="1"/>
        <v>5.0265279999999999</v>
      </c>
      <c r="P9" s="22">
        <f t="shared" si="1"/>
        <v>0.10593699999999999</v>
      </c>
      <c r="Q9" s="22">
        <f t="shared" si="1"/>
        <v>0.73425300000000004</v>
      </c>
      <c r="R9" s="22"/>
    </row>
    <row r="10" spans="1:18" hidden="1" x14ac:dyDescent="0.25">
      <c r="A10" s="4" t="s">
        <v>14</v>
      </c>
      <c r="B10" s="1">
        <v>2</v>
      </c>
      <c r="C10" s="1" t="s">
        <v>20</v>
      </c>
      <c r="D10" s="4" t="s">
        <v>21</v>
      </c>
      <c r="E10" s="1" t="s">
        <v>17</v>
      </c>
      <c r="F10" s="2">
        <v>37.729999999999997</v>
      </c>
      <c r="G10" s="2">
        <v>5.3463409999999989</v>
      </c>
      <c r="H10" s="2">
        <v>21.272174</v>
      </c>
      <c r="I10" s="2">
        <v>26.618514999999999</v>
      </c>
      <c r="J10" s="2">
        <v>64.348514999999992</v>
      </c>
      <c r="L10" s="22">
        <f>L5*$F$32</f>
        <v>10.613448999999999</v>
      </c>
      <c r="M10" s="22">
        <f t="shared" ref="M10:Q10" si="2">M5*$F$32</f>
        <v>3.4636139999999997</v>
      </c>
      <c r="N10" s="22">
        <f t="shared" si="2"/>
        <v>1.1318999999999999</v>
      </c>
      <c r="O10" s="22">
        <f t="shared" si="2"/>
        <v>5.1916479999999998</v>
      </c>
      <c r="P10" s="22">
        <f t="shared" si="2"/>
        <v>0.10941699999999999</v>
      </c>
      <c r="Q10" s="22">
        <f t="shared" si="2"/>
        <v>0.75837299999999996</v>
      </c>
      <c r="R10" s="22"/>
    </row>
    <row r="11" spans="1:18" hidden="1" x14ac:dyDescent="0.25">
      <c r="A11" s="4" t="s">
        <v>14</v>
      </c>
      <c r="B11" s="1">
        <v>2</v>
      </c>
      <c r="C11" s="1"/>
      <c r="D11" s="4" t="s">
        <v>101</v>
      </c>
      <c r="E11" s="1" t="s">
        <v>17</v>
      </c>
      <c r="F11" s="2">
        <v>35.299999999999997</v>
      </c>
      <c r="G11" s="2">
        <v>5</v>
      </c>
      <c r="H11" s="2">
        <v>19.910000000000004</v>
      </c>
      <c r="I11" s="2"/>
      <c r="J11" s="2"/>
      <c r="L11" s="22">
        <f>L5*$F$33</f>
        <v>9.9298899999999986</v>
      </c>
      <c r="M11" s="22">
        <f t="shared" ref="M11:Q11" si="3">M5*$F$33</f>
        <v>3.2405399999999998</v>
      </c>
      <c r="N11" s="22">
        <f t="shared" si="3"/>
        <v>1.0589999999999999</v>
      </c>
      <c r="O11" s="22">
        <f t="shared" si="3"/>
        <v>4.8572799999999994</v>
      </c>
      <c r="P11" s="22">
        <f t="shared" si="3"/>
        <v>0.10236999999999999</v>
      </c>
      <c r="Q11" s="22">
        <f t="shared" si="3"/>
        <v>0.70952999999999988</v>
      </c>
      <c r="R11" s="22"/>
    </row>
    <row r="12" spans="1:18" hidden="1" x14ac:dyDescent="0.25">
      <c r="A12" s="4"/>
      <c r="B12" s="1"/>
      <c r="C12" s="1"/>
      <c r="D12" s="4"/>
      <c r="E12" s="1"/>
      <c r="F12" s="2"/>
      <c r="G12" s="2"/>
      <c r="H12" s="2"/>
      <c r="I12" s="2"/>
      <c r="J12" s="2"/>
      <c r="L12" s="22"/>
      <c r="M12" s="22"/>
      <c r="N12" s="22"/>
      <c r="O12" s="22"/>
      <c r="P12" s="22"/>
      <c r="Q12" s="22"/>
      <c r="R12" s="22"/>
    </row>
    <row r="13" spans="1:18" hidden="1" x14ac:dyDescent="0.25">
      <c r="A13" s="4"/>
      <c r="B13" s="1"/>
      <c r="C13" s="1"/>
      <c r="D13" s="4"/>
      <c r="E13" s="1"/>
      <c r="F13" s="1"/>
      <c r="G13" s="1"/>
      <c r="H13" s="2"/>
      <c r="I13" s="2"/>
      <c r="J13" s="2"/>
    </row>
    <row r="14" spans="1:18" hidden="1" x14ac:dyDescent="0.25">
      <c r="A14" s="9"/>
      <c r="B14" s="4" t="s">
        <v>22</v>
      </c>
      <c r="C14" s="1"/>
      <c r="D14" s="4"/>
      <c r="E14" s="1"/>
      <c r="F14" s="2"/>
      <c r="G14" s="2"/>
      <c r="H14" s="2"/>
      <c r="I14" s="2"/>
      <c r="J14" s="2"/>
    </row>
    <row r="15" spans="1:18" hidden="1" x14ac:dyDescent="0.25">
      <c r="A15" s="4" t="s">
        <v>14</v>
      </c>
      <c r="B15" s="1">
        <v>2</v>
      </c>
      <c r="C15" s="1" t="s">
        <v>15</v>
      </c>
      <c r="D15" s="4" t="s">
        <v>16</v>
      </c>
      <c r="E15" s="1" t="s">
        <v>17</v>
      </c>
      <c r="F15" s="2">
        <v>51.449999999999996</v>
      </c>
      <c r="G15" s="2">
        <v>7.2900000000000009</v>
      </c>
      <c r="H15" s="2">
        <v>29.010000000000005</v>
      </c>
      <c r="I15" s="2">
        <v>36.300000000000004</v>
      </c>
      <c r="J15" s="2">
        <v>87.75</v>
      </c>
      <c r="L15" s="22">
        <f>L8*1.5</f>
        <v>14.472884999999998</v>
      </c>
      <c r="M15" s="22">
        <f t="shared" ref="M15:Q15" si="4">M8*1.5</f>
        <v>4.7231100000000001</v>
      </c>
      <c r="N15" s="22">
        <f t="shared" si="4"/>
        <v>1.5434999999999999</v>
      </c>
      <c r="O15" s="22">
        <f t="shared" si="4"/>
        <v>7.0795199999999987</v>
      </c>
      <c r="P15" s="22">
        <f t="shared" si="4"/>
        <v>0.14920499999999998</v>
      </c>
      <c r="Q15" s="22">
        <f t="shared" si="4"/>
        <v>1.0341450000000001</v>
      </c>
      <c r="R15" s="22"/>
    </row>
    <row r="16" spans="1:18" hidden="1" x14ac:dyDescent="0.25">
      <c r="A16" s="4" t="s">
        <v>14</v>
      </c>
      <c r="B16" s="1">
        <v>2</v>
      </c>
      <c r="C16" s="1" t="s">
        <v>18</v>
      </c>
      <c r="D16" s="4" t="s">
        <v>23</v>
      </c>
      <c r="E16" s="1" t="s">
        <v>17</v>
      </c>
      <c r="F16" s="2">
        <v>54.795000000000002</v>
      </c>
      <c r="G16" s="2">
        <v>7.7644514999999998</v>
      </c>
      <c r="H16" s="2">
        <v>30.893420999999996</v>
      </c>
      <c r="I16" s="2">
        <v>38.657872499999996</v>
      </c>
      <c r="J16" s="2">
        <v>93.452872499999998</v>
      </c>
      <c r="L16" s="22">
        <f t="shared" ref="L16:Q16" si="5">L9*1.5</f>
        <v>15.413833499999999</v>
      </c>
      <c r="M16" s="22">
        <f t="shared" si="5"/>
        <v>5.0301810000000007</v>
      </c>
      <c r="N16" s="22">
        <f t="shared" si="5"/>
        <v>1.64385</v>
      </c>
      <c r="O16" s="22">
        <f t="shared" si="5"/>
        <v>7.5397920000000003</v>
      </c>
      <c r="P16" s="22">
        <f t="shared" si="5"/>
        <v>0.15890549999999998</v>
      </c>
      <c r="Q16" s="22">
        <f t="shared" si="5"/>
        <v>1.1013795000000002</v>
      </c>
      <c r="R16" s="22"/>
    </row>
    <row r="17" spans="1:18" hidden="1" x14ac:dyDescent="0.25">
      <c r="A17" s="4" t="s">
        <v>14</v>
      </c>
      <c r="B17" s="1">
        <v>2</v>
      </c>
      <c r="C17" s="1" t="s">
        <v>20</v>
      </c>
      <c r="D17" s="4" t="s">
        <v>21</v>
      </c>
      <c r="E17" s="1" t="s">
        <v>17</v>
      </c>
      <c r="F17" s="2">
        <v>56.594999999999999</v>
      </c>
      <c r="G17" s="2">
        <v>8.0195114999999983</v>
      </c>
      <c r="H17" s="2">
        <v>31.908261</v>
      </c>
      <c r="I17" s="2">
        <v>39.927772499999996</v>
      </c>
      <c r="J17" s="2">
        <v>96.522772500000002</v>
      </c>
      <c r="L17" s="22">
        <f t="shared" ref="L17:Q17" si="6">L10*1.5</f>
        <v>15.920173499999999</v>
      </c>
      <c r="M17" s="22">
        <f t="shared" si="6"/>
        <v>5.1954209999999996</v>
      </c>
      <c r="N17" s="22">
        <f t="shared" si="6"/>
        <v>1.6978499999999999</v>
      </c>
      <c r="O17" s="22">
        <f t="shared" si="6"/>
        <v>7.7874719999999993</v>
      </c>
      <c r="P17" s="22">
        <f t="shared" si="6"/>
        <v>0.16412549999999998</v>
      </c>
      <c r="Q17" s="22">
        <f t="shared" si="6"/>
        <v>1.1375595000000001</v>
      </c>
      <c r="R17" s="22"/>
    </row>
    <row r="18" spans="1:18" hidden="1" x14ac:dyDescent="0.25">
      <c r="A18" s="4" t="s">
        <v>14</v>
      </c>
      <c r="B18" s="1">
        <v>2</v>
      </c>
      <c r="C18" s="1"/>
      <c r="D18" s="4" t="s">
        <v>101</v>
      </c>
      <c r="E18" s="1" t="s">
        <v>17</v>
      </c>
      <c r="F18" s="2">
        <v>52.949999999999996</v>
      </c>
      <c r="G18" s="2">
        <v>7.5</v>
      </c>
      <c r="H18" s="2">
        <v>29.865000000000006</v>
      </c>
      <c r="I18" s="2"/>
      <c r="J18" s="2"/>
      <c r="L18" s="22">
        <f t="shared" ref="L18:Q18" si="7">L11*1.5</f>
        <v>14.894834999999997</v>
      </c>
      <c r="M18" s="22">
        <f t="shared" si="7"/>
        <v>4.8608099999999999</v>
      </c>
      <c r="N18" s="22">
        <f t="shared" si="7"/>
        <v>1.5884999999999998</v>
      </c>
      <c r="O18" s="22">
        <f t="shared" si="7"/>
        <v>7.2859199999999991</v>
      </c>
      <c r="P18" s="22">
        <f t="shared" si="7"/>
        <v>0.153555</v>
      </c>
      <c r="Q18" s="22">
        <f t="shared" si="7"/>
        <v>1.0642949999999998</v>
      </c>
      <c r="R18" s="22"/>
    </row>
    <row r="19" spans="1:18" hidden="1" x14ac:dyDescent="0.25">
      <c r="A19" s="4"/>
      <c r="B19" s="1"/>
      <c r="C19" s="1"/>
      <c r="D19" s="4"/>
      <c r="E19" s="1"/>
      <c r="F19" s="2"/>
      <c r="G19" s="2"/>
      <c r="H19" s="2"/>
      <c r="I19" s="2"/>
      <c r="J19" s="2"/>
    </row>
    <row r="20" spans="1:18" hidden="1" x14ac:dyDescent="0.25">
      <c r="A20" s="4"/>
      <c r="B20" s="1"/>
      <c r="C20" s="1"/>
      <c r="D20" s="4"/>
      <c r="E20" s="1"/>
      <c r="F20" s="2"/>
      <c r="G20" s="2"/>
      <c r="H20" s="2"/>
      <c r="I20" s="2"/>
      <c r="J20" s="2"/>
      <c r="L20" s="22"/>
      <c r="M20" s="22"/>
      <c r="N20" s="22"/>
      <c r="O20" s="22"/>
      <c r="P20" s="22"/>
      <c r="Q20" s="22"/>
      <c r="R20" s="22"/>
    </row>
    <row r="21" spans="1:18" hidden="1" x14ac:dyDescent="0.25">
      <c r="A21" s="9"/>
      <c r="B21" s="4"/>
      <c r="C21" s="1"/>
      <c r="D21" s="4"/>
      <c r="E21" s="1"/>
      <c r="F21" s="2"/>
      <c r="G21" s="2"/>
      <c r="H21" s="2"/>
      <c r="I21" s="2"/>
      <c r="J21" s="2"/>
    </row>
    <row r="22" spans="1:18" hidden="1" x14ac:dyDescent="0.25"/>
    <row r="23" spans="1:18" hidden="1" x14ac:dyDescent="0.25"/>
    <row r="25" spans="1:18" x14ac:dyDescent="0.25">
      <c r="A25" s="4" t="s">
        <v>68</v>
      </c>
      <c r="B25" s="1"/>
      <c r="C25" s="1"/>
      <c r="D25" s="4"/>
      <c r="E25" s="1"/>
      <c r="F25" s="2"/>
      <c r="G25" s="2"/>
      <c r="H25" s="3" t="s">
        <v>0</v>
      </c>
      <c r="I25" s="3"/>
      <c r="J25" s="3"/>
      <c r="L25" s="24" t="s">
        <v>61</v>
      </c>
      <c r="M25" s="24"/>
      <c r="N25" s="24"/>
    </row>
    <row r="26" spans="1:18" x14ac:dyDescent="0.25">
      <c r="A26" s="4"/>
      <c r="B26" s="1"/>
      <c r="C26" s="1"/>
      <c r="D26" s="4"/>
      <c r="E26" s="1"/>
      <c r="F26" s="2"/>
      <c r="G26" s="2"/>
      <c r="H26" s="3" t="s">
        <v>1</v>
      </c>
      <c r="I26" s="3"/>
      <c r="J26" s="3"/>
      <c r="L26" s="26" t="s">
        <v>62</v>
      </c>
      <c r="M26" s="26" t="s">
        <v>42</v>
      </c>
      <c r="N26" s="26" t="s">
        <v>41</v>
      </c>
      <c r="O26" s="26" t="s">
        <v>63</v>
      </c>
      <c r="P26" s="26" t="s">
        <v>56</v>
      </c>
      <c r="Q26" s="26" t="s">
        <v>45</v>
      </c>
    </row>
    <row r="27" spans="1:18" x14ac:dyDescent="0.25">
      <c r="A27" s="4"/>
      <c r="B27" s="1"/>
      <c r="C27" s="1"/>
      <c r="D27" s="4"/>
      <c r="E27" s="1"/>
      <c r="F27" s="5" t="s">
        <v>2</v>
      </c>
      <c r="G27" s="5" t="s">
        <v>3</v>
      </c>
      <c r="H27" s="3" t="s">
        <v>4</v>
      </c>
      <c r="I27" s="3" t="s">
        <v>58</v>
      </c>
      <c r="J27" s="3" t="s">
        <v>59</v>
      </c>
      <c r="L27">
        <v>0.25659999999999999</v>
      </c>
      <c r="M27" s="25">
        <v>0.1166</v>
      </c>
      <c r="N27">
        <v>0.03</v>
      </c>
      <c r="O27">
        <v>0.1376</v>
      </c>
      <c r="P27">
        <v>2.8999999999999998E-3</v>
      </c>
      <c r="Q27">
        <v>2.01E-2</v>
      </c>
    </row>
    <row r="28" spans="1:18" x14ac:dyDescent="0.25">
      <c r="A28" s="4" t="s">
        <v>5</v>
      </c>
      <c r="B28" s="1" t="s">
        <v>6</v>
      </c>
      <c r="C28" s="1" t="s">
        <v>7</v>
      </c>
      <c r="D28" s="4" t="s">
        <v>8</v>
      </c>
      <c r="E28" s="1" t="s">
        <v>9</v>
      </c>
      <c r="F28" s="5" t="s">
        <v>10</v>
      </c>
      <c r="G28" s="5" t="s">
        <v>11</v>
      </c>
      <c r="H28" s="3" t="s">
        <v>12</v>
      </c>
      <c r="I28" s="3"/>
      <c r="J28" s="3"/>
    </row>
    <row r="29" spans="1:18" x14ac:dyDescent="0.25">
      <c r="A29" s="6"/>
      <c r="B29" s="1"/>
      <c r="C29" s="7"/>
      <c r="D29" s="8"/>
      <c r="E29" s="1"/>
      <c r="F29" s="7"/>
      <c r="G29" s="7"/>
      <c r="H29" s="7"/>
      <c r="I29" s="7" t="s">
        <v>13</v>
      </c>
      <c r="J29" s="7" t="s">
        <v>13</v>
      </c>
    </row>
    <row r="30" spans="1:18" x14ac:dyDescent="0.25">
      <c r="A30" s="4" t="s">
        <v>14</v>
      </c>
      <c r="B30" s="1">
        <v>2</v>
      </c>
      <c r="C30" s="1" t="s">
        <v>15</v>
      </c>
      <c r="D30" s="4" t="s">
        <v>16</v>
      </c>
      <c r="E30" s="1" t="s">
        <v>17</v>
      </c>
      <c r="F30" s="2">
        <f>'2011 temp calcs'!E2</f>
        <v>34.299999999999997</v>
      </c>
      <c r="G30" s="2">
        <f>'2011 temp calcs'!E12</f>
        <v>4.8600000000000003</v>
      </c>
      <c r="H30" s="2">
        <f>'2011 temp calcs'!E10</f>
        <v>19.340000000000003</v>
      </c>
      <c r="I30" s="2">
        <f>H30+G30</f>
        <v>24.200000000000003</v>
      </c>
      <c r="J30" s="2">
        <f>I30+F30</f>
        <v>58.5</v>
      </c>
      <c r="K30" s="27"/>
      <c r="L30" s="22">
        <f>L27*$F$30</f>
        <v>8.8013799999999982</v>
      </c>
      <c r="M30" s="22">
        <f t="shared" ref="M30:Q30" si="8">M27*$F$30</f>
        <v>3.9993799999999995</v>
      </c>
      <c r="N30" s="22">
        <f t="shared" si="8"/>
        <v>1.0289999999999999</v>
      </c>
      <c r="O30" s="22">
        <f t="shared" si="8"/>
        <v>4.7196799999999994</v>
      </c>
      <c r="P30" s="22">
        <f t="shared" si="8"/>
        <v>9.9469999999999989E-2</v>
      </c>
      <c r="Q30" s="22">
        <f t="shared" si="8"/>
        <v>0.68942999999999999</v>
      </c>
      <c r="R30" s="22"/>
    </row>
    <row r="31" spans="1:18" x14ac:dyDescent="0.25">
      <c r="A31" s="4" t="s">
        <v>14</v>
      </c>
      <c r="B31" s="1">
        <v>2</v>
      </c>
      <c r="C31" s="1" t="s">
        <v>18</v>
      </c>
      <c r="D31" s="4" t="s">
        <v>19</v>
      </c>
      <c r="E31" s="1" t="s">
        <v>17</v>
      </c>
      <c r="F31" s="2">
        <f>'2011 temp calcs'!G2</f>
        <v>36.53</v>
      </c>
      <c r="G31" s="2">
        <f>'2011 temp calcs'!G12</f>
        <v>5.1763009999999996</v>
      </c>
      <c r="H31" s="2">
        <f>'2011 temp calcs'!G10</f>
        <v>20.595613999999998</v>
      </c>
      <c r="I31" s="2">
        <f>H31+G31</f>
        <v>25.771914999999996</v>
      </c>
      <c r="J31" s="2">
        <f>I31+F31</f>
        <v>62.301914999999994</v>
      </c>
      <c r="L31" s="22">
        <f>L27*$F$31</f>
        <v>9.3735979999999994</v>
      </c>
      <c r="M31" s="22">
        <f t="shared" ref="M31:Q31" si="9">M27*$F$31</f>
        <v>4.259398</v>
      </c>
      <c r="N31" s="22">
        <f t="shared" si="9"/>
        <v>1.0959000000000001</v>
      </c>
      <c r="O31" s="22">
        <f t="shared" si="9"/>
        <v>5.0265279999999999</v>
      </c>
      <c r="P31" s="22">
        <f t="shared" si="9"/>
        <v>0.10593699999999999</v>
      </c>
      <c r="Q31" s="22">
        <f t="shared" si="9"/>
        <v>0.73425300000000004</v>
      </c>
      <c r="R31" s="22"/>
    </row>
    <row r="32" spans="1:18" x14ac:dyDescent="0.25">
      <c r="A32" s="4" t="s">
        <v>14</v>
      </c>
      <c r="B32" s="1">
        <v>2</v>
      </c>
      <c r="C32" s="1" t="s">
        <v>20</v>
      </c>
      <c r="D32" s="4" t="s">
        <v>21</v>
      </c>
      <c r="E32" s="1" t="s">
        <v>17</v>
      </c>
      <c r="F32" s="2">
        <f>'2011 temp calcs'!H2</f>
        <v>37.729999999999997</v>
      </c>
      <c r="G32" s="2">
        <f>'2011 temp calcs'!H12</f>
        <v>5.3463409999999989</v>
      </c>
      <c r="H32" s="2">
        <f>'2011 temp calcs'!H10</f>
        <v>21.272174</v>
      </c>
      <c r="I32" s="2">
        <f>H32+G32</f>
        <v>26.618514999999999</v>
      </c>
      <c r="J32" s="2">
        <f>I32+F32</f>
        <v>64.348514999999992</v>
      </c>
      <c r="L32" s="22">
        <f>L27*$F$32</f>
        <v>9.6815179999999987</v>
      </c>
      <c r="M32" s="22">
        <f t="shared" ref="M32:Q32" si="10">M27*$F$32</f>
        <v>4.3993179999999992</v>
      </c>
      <c r="N32" s="22">
        <f t="shared" si="10"/>
        <v>1.1318999999999999</v>
      </c>
      <c r="O32" s="22">
        <f t="shared" si="10"/>
        <v>5.1916479999999998</v>
      </c>
      <c r="P32" s="22">
        <f t="shared" si="10"/>
        <v>0.10941699999999999</v>
      </c>
      <c r="Q32" s="22">
        <f t="shared" si="10"/>
        <v>0.75837299999999996</v>
      </c>
      <c r="R32" s="22"/>
    </row>
    <row r="33" spans="1:18" x14ac:dyDescent="0.25">
      <c r="A33" s="4" t="s">
        <v>14</v>
      </c>
      <c r="B33" s="1">
        <v>2</v>
      </c>
      <c r="C33" s="1" t="s">
        <v>104</v>
      </c>
      <c r="D33" s="4" t="s">
        <v>101</v>
      </c>
      <c r="E33" s="1" t="s">
        <v>17</v>
      </c>
      <c r="F33" s="2">
        <f>'2011 temp calcs'!F2</f>
        <v>35.299999999999997</v>
      </c>
      <c r="G33" s="2">
        <f>'2011 temp calcs'!F12</f>
        <v>5</v>
      </c>
      <c r="H33" s="2">
        <f>'2011 temp calcs'!F10</f>
        <v>19.910000000000004</v>
      </c>
      <c r="I33" s="2"/>
      <c r="J33" s="2"/>
      <c r="L33" s="22">
        <f>L27*$F$33</f>
        <v>9.0579799999999988</v>
      </c>
      <c r="M33" s="22">
        <f t="shared" ref="M33:Q33" si="11">M27*$F$33</f>
        <v>4.1159799999999995</v>
      </c>
      <c r="N33" s="22">
        <f t="shared" si="11"/>
        <v>1.0589999999999999</v>
      </c>
      <c r="O33" s="22">
        <f t="shared" si="11"/>
        <v>4.8572799999999994</v>
      </c>
      <c r="P33" s="22">
        <f t="shared" si="11"/>
        <v>0.10236999999999999</v>
      </c>
      <c r="Q33" s="22">
        <f t="shared" si="11"/>
        <v>0.70952999999999988</v>
      </c>
      <c r="R33" s="22"/>
    </row>
    <row r="34" spans="1:18" x14ac:dyDescent="0.25">
      <c r="A34" s="4"/>
      <c r="B34" s="1"/>
      <c r="C34" s="1"/>
      <c r="D34" s="4"/>
      <c r="E34" s="1"/>
      <c r="F34" s="2"/>
      <c r="G34" s="2"/>
      <c r="H34" s="2"/>
      <c r="I34" s="2"/>
      <c r="J34" s="2"/>
      <c r="L34" s="22"/>
      <c r="M34" s="22"/>
      <c r="N34" s="22"/>
      <c r="O34" s="22"/>
      <c r="P34" s="22"/>
      <c r="Q34" s="22"/>
      <c r="R34" s="22"/>
    </row>
    <row r="35" spans="1:18" x14ac:dyDescent="0.25">
      <c r="A35" s="4"/>
      <c r="B35" s="1"/>
      <c r="C35" s="1"/>
      <c r="D35" s="4"/>
      <c r="E35" s="1"/>
      <c r="F35" s="1"/>
      <c r="G35" s="1"/>
      <c r="H35" s="2"/>
      <c r="I35" s="2"/>
      <c r="J35" s="2"/>
    </row>
    <row r="36" spans="1:18" x14ac:dyDescent="0.25">
      <c r="A36" s="9"/>
      <c r="B36" s="4" t="s">
        <v>22</v>
      </c>
      <c r="C36" s="1"/>
      <c r="D36" s="4"/>
      <c r="E36" s="1"/>
      <c r="F36" s="2"/>
      <c r="G36" s="2"/>
      <c r="H36" s="2"/>
      <c r="I36" s="2"/>
      <c r="J36" s="2"/>
    </row>
    <row r="37" spans="1:18" x14ac:dyDescent="0.25">
      <c r="A37" s="4" t="s">
        <v>14</v>
      </c>
      <c r="B37" s="1">
        <v>2</v>
      </c>
      <c r="C37" s="1" t="s">
        <v>15</v>
      </c>
      <c r="D37" s="4" t="s">
        <v>16</v>
      </c>
      <c r="E37" s="1" t="s">
        <v>17</v>
      </c>
      <c r="F37" s="2">
        <f t="shared" ref="F37:H40" si="12">F30*1.5</f>
        <v>51.449999999999996</v>
      </c>
      <c r="G37" s="2">
        <f t="shared" si="12"/>
        <v>7.2900000000000009</v>
      </c>
      <c r="H37" s="2">
        <f t="shared" si="12"/>
        <v>29.010000000000005</v>
      </c>
      <c r="I37" s="2">
        <f>H37+G37</f>
        <v>36.300000000000004</v>
      </c>
      <c r="J37" s="2">
        <f>I37+F37</f>
        <v>87.75</v>
      </c>
      <c r="L37" s="22">
        <f>L30*1.5</f>
        <v>13.202069999999997</v>
      </c>
      <c r="M37" s="22">
        <f t="shared" ref="M37:Q37" si="13">M30*1.5</f>
        <v>5.9990699999999997</v>
      </c>
      <c r="N37" s="22">
        <f t="shared" si="13"/>
        <v>1.5434999999999999</v>
      </c>
      <c r="O37" s="22">
        <f t="shared" si="13"/>
        <v>7.0795199999999987</v>
      </c>
      <c r="P37" s="22">
        <f t="shared" si="13"/>
        <v>0.14920499999999998</v>
      </c>
      <c r="Q37" s="22">
        <f t="shared" si="13"/>
        <v>1.0341450000000001</v>
      </c>
      <c r="R37" s="22"/>
    </row>
    <row r="38" spans="1:18" x14ac:dyDescent="0.25">
      <c r="A38" s="4" t="s">
        <v>14</v>
      </c>
      <c r="B38" s="1">
        <v>2</v>
      </c>
      <c r="C38" s="1" t="s">
        <v>18</v>
      </c>
      <c r="D38" s="4" t="s">
        <v>23</v>
      </c>
      <c r="E38" s="1" t="s">
        <v>17</v>
      </c>
      <c r="F38" s="2">
        <f t="shared" si="12"/>
        <v>54.795000000000002</v>
      </c>
      <c r="G38" s="2">
        <f t="shared" si="12"/>
        <v>7.7644514999999998</v>
      </c>
      <c r="H38" s="2">
        <f t="shared" si="12"/>
        <v>30.893420999999996</v>
      </c>
      <c r="I38" s="2">
        <f>H38+G38</f>
        <v>38.657872499999996</v>
      </c>
      <c r="J38" s="2">
        <f>I38+F38</f>
        <v>93.452872499999998</v>
      </c>
      <c r="L38" s="22">
        <f t="shared" ref="L38:Q38" si="14">L31*1.5</f>
        <v>14.060396999999998</v>
      </c>
      <c r="M38" s="22">
        <f t="shared" si="14"/>
        <v>6.3890969999999996</v>
      </c>
      <c r="N38" s="22">
        <f t="shared" si="14"/>
        <v>1.64385</v>
      </c>
      <c r="O38" s="22">
        <f t="shared" si="14"/>
        <v>7.5397920000000003</v>
      </c>
      <c r="P38" s="22">
        <f t="shared" si="14"/>
        <v>0.15890549999999998</v>
      </c>
      <c r="Q38" s="22">
        <f t="shared" si="14"/>
        <v>1.1013795000000002</v>
      </c>
      <c r="R38" s="22"/>
    </row>
    <row r="39" spans="1:18" x14ac:dyDescent="0.25">
      <c r="A39" s="4" t="s">
        <v>14</v>
      </c>
      <c r="B39" s="1">
        <v>2</v>
      </c>
      <c r="C39" s="1" t="s">
        <v>20</v>
      </c>
      <c r="D39" s="4" t="s">
        <v>21</v>
      </c>
      <c r="E39" s="1" t="s">
        <v>17</v>
      </c>
      <c r="F39" s="2">
        <f t="shared" si="12"/>
        <v>56.594999999999999</v>
      </c>
      <c r="G39" s="2">
        <f t="shared" si="12"/>
        <v>8.0195114999999983</v>
      </c>
      <c r="H39" s="2">
        <f t="shared" si="12"/>
        <v>31.908261</v>
      </c>
      <c r="I39" s="2">
        <f>H39+G39</f>
        <v>39.927772499999996</v>
      </c>
      <c r="J39" s="2">
        <f>I39+F39</f>
        <v>96.522772500000002</v>
      </c>
      <c r="L39" s="22">
        <f t="shared" ref="L39:Q40" si="15">L32*1.5</f>
        <v>14.522276999999999</v>
      </c>
      <c r="M39" s="22">
        <f t="shared" si="15"/>
        <v>6.5989769999999988</v>
      </c>
      <c r="N39" s="22">
        <f t="shared" si="15"/>
        <v>1.6978499999999999</v>
      </c>
      <c r="O39" s="22">
        <f t="shared" si="15"/>
        <v>7.7874719999999993</v>
      </c>
      <c r="P39" s="22">
        <f t="shared" si="15"/>
        <v>0.16412549999999998</v>
      </c>
      <c r="Q39" s="22">
        <f t="shared" si="15"/>
        <v>1.1375595000000001</v>
      </c>
      <c r="R39" s="22"/>
    </row>
    <row r="40" spans="1:18" x14ac:dyDescent="0.25">
      <c r="A40" s="4" t="s">
        <v>14</v>
      </c>
      <c r="B40" s="1">
        <v>2</v>
      </c>
      <c r="C40" s="1" t="s">
        <v>104</v>
      </c>
      <c r="D40" s="4" t="s">
        <v>101</v>
      </c>
      <c r="E40" s="1" t="s">
        <v>17</v>
      </c>
      <c r="F40" s="2">
        <f t="shared" si="12"/>
        <v>52.949999999999996</v>
      </c>
      <c r="G40" s="2">
        <f t="shared" si="12"/>
        <v>7.5</v>
      </c>
      <c r="H40" s="2">
        <f t="shared" si="12"/>
        <v>29.865000000000006</v>
      </c>
      <c r="I40" s="2"/>
      <c r="J40" s="2"/>
      <c r="L40" s="22">
        <f t="shared" si="15"/>
        <v>13.586969999999997</v>
      </c>
      <c r="M40" s="22">
        <f t="shared" si="15"/>
        <v>6.1739699999999988</v>
      </c>
      <c r="N40" s="22">
        <f t="shared" si="15"/>
        <v>1.5884999999999998</v>
      </c>
      <c r="O40" s="22">
        <f t="shared" si="15"/>
        <v>7.2859199999999991</v>
      </c>
      <c r="P40" s="22">
        <f t="shared" si="15"/>
        <v>0.153555</v>
      </c>
      <c r="Q40" s="22">
        <f t="shared" si="15"/>
        <v>1.0642949999999998</v>
      </c>
      <c r="R40" s="22"/>
    </row>
    <row r="41" spans="1:18" x14ac:dyDescent="0.25">
      <c r="A41" s="4"/>
      <c r="B41" s="1"/>
      <c r="C41" s="1"/>
      <c r="D41" s="4"/>
      <c r="E41" s="1"/>
      <c r="F41" s="2"/>
      <c r="G41" s="2"/>
      <c r="H41" s="2"/>
      <c r="I41" s="2"/>
      <c r="J41" s="2"/>
    </row>
    <row r="42" spans="1:18" x14ac:dyDescent="0.25">
      <c r="A42" s="4"/>
      <c r="B42" s="10" t="s">
        <v>69</v>
      </c>
      <c r="C42" s="1"/>
      <c r="D42" s="4"/>
      <c r="E42" s="1"/>
      <c r="F42" s="2"/>
      <c r="G42" s="2"/>
      <c r="H42" s="2"/>
      <c r="I42" s="2"/>
      <c r="J42" s="2"/>
    </row>
    <row r="43" spans="1:18" x14ac:dyDescent="0.25">
      <c r="A43" s="4"/>
      <c r="B43" s="1"/>
      <c r="C43" s="1"/>
      <c r="D43" s="4"/>
      <c r="E43" s="1"/>
      <c r="F43" s="2"/>
      <c r="G43" s="2"/>
      <c r="H43" s="2"/>
      <c r="I43" s="2"/>
      <c r="J43" s="2"/>
    </row>
    <row r="44" spans="1:18" x14ac:dyDescent="0.25">
      <c r="A44" s="9"/>
      <c r="B44" s="10" t="s">
        <v>24</v>
      </c>
      <c r="C44" s="1"/>
      <c r="E44" s="1"/>
      <c r="F44" s="1"/>
      <c r="G44" s="1"/>
      <c r="H44" s="2"/>
      <c r="I44" s="2"/>
      <c r="J44" s="2"/>
    </row>
    <row r="45" spans="1:18" x14ac:dyDescent="0.25">
      <c r="A45" s="9"/>
      <c r="B45" s="10" t="s">
        <v>25</v>
      </c>
      <c r="C45" s="1"/>
      <c r="E45" s="1"/>
      <c r="F45" s="1"/>
      <c r="G45" s="1"/>
      <c r="H45" s="2"/>
      <c r="I45" s="2"/>
      <c r="J45" s="2"/>
    </row>
    <row r="46" spans="1:18" x14ac:dyDescent="0.25">
      <c r="A46" s="9"/>
      <c r="B46" s="10" t="s">
        <v>26</v>
      </c>
      <c r="C46" s="1"/>
      <c r="E46" s="1"/>
      <c r="F46" s="1"/>
      <c r="G46" s="1"/>
      <c r="H46" s="2"/>
      <c r="I46" s="2"/>
      <c r="J46" s="2"/>
    </row>
    <row r="47" spans="1:18" x14ac:dyDescent="0.25">
      <c r="A47" s="9"/>
      <c r="B47" s="4"/>
      <c r="C47" s="1"/>
      <c r="E47" s="1"/>
      <c r="F47" s="1"/>
      <c r="G47" s="1"/>
      <c r="H47" s="2"/>
      <c r="I47" s="2"/>
      <c r="J47" s="2"/>
    </row>
    <row r="48" spans="1:18" x14ac:dyDescent="0.25">
      <c r="A48" s="9"/>
      <c r="B48" s="10" t="s">
        <v>27</v>
      </c>
      <c r="C48" s="1"/>
      <c r="E48" s="1"/>
      <c r="F48" s="1"/>
      <c r="G48" s="1"/>
      <c r="H48" s="2"/>
      <c r="I48" s="2"/>
      <c r="J48" s="2"/>
    </row>
    <row r="49" spans="1:10" x14ac:dyDescent="0.25">
      <c r="A49" s="9"/>
      <c r="B49" s="10" t="s">
        <v>28</v>
      </c>
      <c r="C49" s="1"/>
      <c r="E49" s="1"/>
      <c r="F49" s="1"/>
      <c r="G49" s="1"/>
      <c r="H49" s="2"/>
      <c r="I49" s="2"/>
      <c r="J49" s="2"/>
    </row>
    <row r="50" spans="1:10" x14ac:dyDescent="0.25">
      <c r="A50" s="9"/>
      <c r="B50" s="10" t="s">
        <v>29</v>
      </c>
      <c r="C50" s="1"/>
      <c r="E50" s="1"/>
      <c r="F50" s="1"/>
      <c r="G50" s="1"/>
      <c r="H50" s="2"/>
      <c r="I50" s="2"/>
      <c r="J50" s="2"/>
    </row>
    <row r="51" spans="1:10" x14ac:dyDescent="0.25">
      <c r="A51" s="9"/>
      <c r="B51" s="1"/>
      <c r="C51" s="9"/>
      <c r="D51" s="9"/>
      <c r="E51" s="11"/>
      <c r="F51" s="9"/>
      <c r="G51" s="9"/>
      <c r="H51" s="11"/>
      <c r="I51" s="11"/>
      <c r="J51" s="11"/>
    </row>
    <row r="52" spans="1:10" x14ac:dyDescent="0.25">
      <c r="C52" s="1"/>
    </row>
    <row r="53" spans="1:10" x14ac:dyDescent="0.25">
      <c r="B53" s="28" t="s">
        <v>65</v>
      </c>
      <c r="C53" s="1"/>
    </row>
    <row r="55" spans="1:10" x14ac:dyDescent="0.25">
      <c r="B55" t="s">
        <v>98</v>
      </c>
      <c r="C55" s="29"/>
      <c r="D55" s="29"/>
    </row>
    <row r="56" spans="1:10" x14ac:dyDescent="0.25">
      <c r="B56" s="25" t="s">
        <v>99</v>
      </c>
    </row>
  </sheetData>
  <phoneticPr fontId="5" type="noConversion"/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A47"/>
  <sheetViews>
    <sheetView workbookViewId="0">
      <selection activeCell="Q33" sqref="Q33"/>
    </sheetView>
  </sheetViews>
  <sheetFormatPr defaultColWidth="9.109375" defaultRowHeight="13.2" x14ac:dyDescent="0.25"/>
  <cols>
    <col min="1" max="1" width="4.109375" customWidth="1"/>
    <col min="2" max="2" width="6.33203125" customWidth="1"/>
    <col min="3" max="3" width="0.109375" customWidth="1"/>
    <col min="5" max="5" width="9.109375" customWidth="1"/>
    <col min="6" max="6" width="8" hidden="1" customWidth="1"/>
    <col min="7" max="8" width="4" customWidth="1"/>
    <col min="9" max="9" width="9.33203125" customWidth="1"/>
    <col min="11" max="11" width="7.6640625" customWidth="1"/>
    <col min="12" max="12" width="4.5546875" bestFit="1" customWidth="1"/>
    <col min="13" max="13" width="4.88671875" bestFit="1" customWidth="1"/>
    <col min="14" max="14" width="5.88671875" bestFit="1" customWidth="1"/>
    <col min="15" max="15" width="7.5546875" bestFit="1" customWidth="1"/>
    <col min="16" max="16" width="6" bestFit="1" customWidth="1"/>
    <col min="17" max="17" width="11.33203125" customWidth="1"/>
    <col min="18" max="27" width="11.33203125" hidden="1" customWidth="1"/>
    <col min="28" max="28" width="7.6640625" customWidth="1"/>
    <col min="29" max="29" width="8.44140625" customWidth="1"/>
  </cols>
  <sheetData>
    <row r="1" spans="1:27" x14ac:dyDescent="0.25">
      <c r="A1" s="4" t="s">
        <v>68</v>
      </c>
      <c r="B1" s="5"/>
      <c r="C1" s="5"/>
      <c r="D1" s="10"/>
      <c r="E1" s="5"/>
      <c r="F1" s="5"/>
      <c r="G1" s="5"/>
      <c r="H1" s="5"/>
      <c r="I1" s="2"/>
      <c r="J1" s="2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</row>
    <row r="2" spans="1:27" x14ac:dyDescent="0.25">
      <c r="A2" s="10" t="s">
        <v>64</v>
      </c>
      <c r="B2" s="5"/>
      <c r="C2" s="5"/>
      <c r="D2" s="10"/>
      <c r="E2" s="5"/>
      <c r="F2" s="5"/>
      <c r="G2" s="5"/>
      <c r="H2" s="5"/>
      <c r="I2" s="2"/>
      <c r="J2" s="2"/>
      <c r="K2" s="3" t="s">
        <v>0</v>
      </c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</row>
    <row r="3" spans="1:27" x14ac:dyDescent="0.25">
      <c r="A3" s="19" t="s">
        <v>66</v>
      </c>
      <c r="B3" s="20"/>
      <c r="C3" s="20"/>
      <c r="D3" s="19"/>
      <c r="E3" s="20"/>
      <c r="F3" s="20"/>
      <c r="G3" s="20"/>
      <c r="H3" s="20"/>
      <c r="I3" s="2"/>
      <c r="J3" s="2"/>
      <c r="K3" s="3" t="s">
        <v>1</v>
      </c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</row>
    <row r="4" spans="1:27" x14ac:dyDescent="0.25">
      <c r="A4" s="12"/>
      <c r="B4" s="5"/>
      <c r="C4" s="5"/>
      <c r="D4" s="10"/>
      <c r="E4" s="5"/>
      <c r="F4" s="5"/>
      <c r="G4" s="5"/>
      <c r="H4" s="5"/>
      <c r="I4" s="5" t="s">
        <v>2</v>
      </c>
      <c r="J4" s="5" t="s">
        <v>3</v>
      </c>
      <c r="K4" s="3" t="s">
        <v>4</v>
      </c>
      <c r="L4" s="3"/>
      <c r="M4" s="3"/>
      <c r="N4" s="3"/>
      <c r="O4" s="3"/>
      <c r="P4" s="3"/>
      <c r="Q4" s="3"/>
      <c r="R4" s="3">
        <v>34.299999999999997</v>
      </c>
      <c r="S4" s="3"/>
      <c r="T4" s="3"/>
      <c r="U4" s="3"/>
      <c r="V4" s="3"/>
      <c r="W4" s="3"/>
      <c r="X4" s="3"/>
      <c r="Y4" s="3"/>
      <c r="Z4" s="3"/>
      <c r="AA4" s="3"/>
    </row>
    <row r="5" spans="1:27" x14ac:dyDescent="0.25">
      <c r="A5" s="10"/>
      <c r="B5" s="5"/>
      <c r="C5" s="5"/>
      <c r="D5" s="10"/>
      <c r="E5" s="5" t="s">
        <v>13</v>
      </c>
      <c r="F5" s="5"/>
      <c r="G5" s="5" t="s">
        <v>9</v>
      </c>
      <c r="H5" s="5"/>
      <c r="I5" s="5" t="s">
        <v>10</v>
      </c>
      <c r="J5" s="5" t="s">
        <v>11</v>
      </c>
      <c r="K5" s="3" t="s">
        <v>12</v>
      </c>
      <c r="L5" s="5" t="s">
        <v>53</v>
      </c>
      <c r="M5" s="5" t="s">
        <v>9</v>
      </c>
      <c r="N5" s="5" t="s">
        <v>41</v>
      </c>
      <c r="O5" s="5" t="s">
        <v>55</v>
      </c>
      <c r="P5" s="5" t="s">
        <v>56</v>
      </c>
      <c r="Q5" s="5" t="s">
        <v>45</v>
      </c>
      <c r="R5" s="5" t="s">
        <v>51</v>
      </c>
      <c r="S5" s="5" t="s">
        <v>52</v>
      </c>
      <c r="T5" s="5" t="s">
        <v>54</v>
      </c>
      <c r="U5" s="5"/>
      <c r="V5" s="5" t="s">
        <v>41</v>
      </c>
      <c r="W5" s="5" t="s">
        <v>55</v>
      </c>
      <c r="X5" s="5" t="s">
        <v>56</v>
      </c>
      <c r="Y5" s="5" t="s">
        <v>45</v>
      </c>
      <c r="Z5" s="5" t="s">
        <v>53</v>
      </c>
      <c r="AA5" s="5"/>
    </row>
    <row r="6" spans="1:27" x14ac:dyDescent="0.25">
      <c r="A6" s="10"/>
      <c r="B6" s="5"/>
      <c r="C6" s="5"/>
      <c r="D6" s="10"/>
      <c r="E6" s="5"/>
      <c r="F6" s="5"/>
      <c r="G6" s="13"/>
      <c r="H6" s="13"/>
      <c r="I6" s="14"/>
      <c r="J6" s="14"/>
      <c r="K6" s="14"/>
    </row>
    <row r="7" spans="1:27" x14ac:dyDescent="0.25">
      <c r="A7" s="10" t="s">
        <v>14</v>
      </c>
      <c r="B7" s="5">
        <v>2</v>
      </c>
      <c r="C7" s="12"/>
      <c r="D7" s="10" t="s">
        <v>30</v>
      </c>
      <c r="E7" s="5"/>
      <c r="F7" s="5"/>
      <c r="G7" s="5"/>
      <c r="H7" s="5"/>
      <c r="I7" s="15"/>
      <c r="J7" s="16"/>
      <c r="K7" s="3"/>
    </row>
    <row r="8" spans="1:27" x14ac:dyDescent="0.25">
      <c r="A8" s="10"/>
      <c r="B8" s="5"/>
      <c r="C8" s="5"/>
      <c r="D8" s="10" t="s">
        <v>31</v>
      </c>
      <c r="E8" s="10"/>
      <c r="F8" s="3"/>
      <c r="G8" s="5" t="s">
        <v>17</v>
      </c>
      <c r="H8" s="5"/>
      <c r="I8" s="3">
        <f>$R$4*R8</f>
        <v>13.719999999999999</v>
      </c>
      <c r="J8" s="3">
        <f t="shared" ref="J8:J17" si="0">I8*S8</f>
        <v>0</v>
      </c>
      <c r="K8" s="17">
        <f>L8+M8+N8+O8+P8+Q8</f>
        <v>11.126912000000001</v>
      </c>
      <c r="L8" s="35">
        <f>Z8</f>
        <v>8.8000000000000007</v>
      </c>
      <c r="M8" s="36">
        <f>I8*T8</f>
        <v>1.5997519999999998</v>
      </c>
      <c r="N8" s="36">
        <f>I8*V8</f>
        <v>0.41159999999999997</v>
      </c>
      <c r="O8" s="25">
        <f>$I$8*W8</f>
        <v>0</v>
      </c>
      <c r="P8" s="35">
        <f>I8*X8</f>
        <v>3.9787999999999997E-2</v>
      </c>
      <c r="Q8" s="35">
        <f>I8*Y8</f>
        <v>0.27577199999999991</v>
      </c>
      <c r="R8" s="35">
        <v>0.4</v>
      </c>
      <c r="S8" s="35">
        <v>0</v>
      </c>
      <c r="T8" s="35">
        <f>'2011 temp calcs'!D5/100</f>
        <v>0.1166</v>
      </c>
      <c r="U8" s="35"/>
      <c r="V8" s="35">
        <f>'2011 temp calcs'!D4/100</f>
        <v>0.03</v>
      </c>
      <c r="W8" s="35">
        <v>0</v>
      </c>
      <c r="X8" s="35">
        <f>'2011 temp calcs'!D9/100</f>
        <v>2.8999999999999998E-3</v>
      </c>
      <c r="Y8" s="35">
        <f>'2011 temp calcs'!D8/100</f>
        <v>2.0099999999999996E-2</v>
      </c>
      <c r="Z8" s="35">
        <f>'2011 temp calcs'!E7</f>
        <v>8.8000000000000007</v>
      </c>
      <c r="AA8" s="35"/>
    </row>
    <row r="9" spans="1:27" x14ac:dyDescent="0.25">
      <c r="A9" s="10"/>
      <c r="B9" s="5"/>
      <c r="C9" s="5"/>
      <c r="D9" s="10" t="s">
        <v>32</v>
      </c>
      <c r="E9" s="5"/>
      <c r="F9" s="3"/>
      <c r="G9" s="5" t="s">
        <v>17</v>
      </c>
      <c r="H9" s="5"/>
      <c r="I9" s="3">
        <f t="shared" ref="I9:I17" si="1">$R$4*R9</f>
        <v>15.434999999999999</v>
      </c>
      <c r="J9" s="3">
        <f t="shared" si="0"/>
        <v>0</v>
      </c>
      <c r="K9" s="17">
        <f t="shared" ref="K9:K17" si="2">L9+M9+N9+O9+P9+Q9</f>
        <v>11.417776000000002</v>
      </c>
      <c r="L9" s="35">
        <f>L8</f>
        <v>8.8000000000000007</v>
      </c>
      <c r="M9" s="36">
        <f t="shared" ref="M9:M17" si="3">I9*T9</f>
        <v>1.7997209999999997</v>
      </c>
      <c r="N9" s="36">
        <f t="shared" ref="N9:N17" si="4">I9*V9</f>
        <v>0.46304999999999996</v>
      </c>
      <c r="O9" s="25">
        <f>$I$8*W9</f>
        <v>0</v>
      </c>
      <c r="P9" s="35">
        <f t="shared" ref="P9:P17" si="5">I9*X9</f>
        <v>4.4761499999999996E-2</v>
      </c>
      <c r="Q9" s="35">
        <f t="shared" ref="Q9:Q17" si="6">I9*Y9</f>
        <v>0.31024349999999989</v>
      </c>
      <c r="R9" s="35">
        <v>0.45</v>
      </c>
      <c r="S9" s="35">
        <v>0</v>
      </c>
      <c r="T9" s="35">
        <f>T8</f>
        <v>0.1166</v>
      </c>
      <c r="U9" s="35"/>
      <c r="V9" s="35">
        <f>V8</f>
        <v>0.03</v>
      </c>
      <c r="W9" s="35">
        <v>0</v>
      </c>
      <c r="X9" s="35">
        <f>X8</f>
        <v>2.8999999999999998E-3</v>
      </c>
      <c r="Y9" s="35">
        <f>Y8</f>
        <v>2.0099999999999996E-2</v>
      </c>
      <c r="Z9" s="35">
        <f>Z8</f>
        <v>8.8000000000000007</v>
      </c>
      <c r="AA9" s="35"/>
    </row>
    <row r="10" spans="1:27" x14ac:dyDescent="0.25">
      <c r="A10" s="10"/>
      <c r="B10" s="5"/>
      <c r="C10" s="5"/>
      <c r="D10" s="10" t="s">
        <v>33</v>
      </c>
      <c r="E10" s="5"/>
      <c r="F10" s="3"/>
      <c r="G10" s="5" t="s">
        <v>17</v>
      </c>
      <c r="H10" s="5"/>
      <c r="I10" s="3">
        <f t="shared" si="1"/>
        <v>17.149999999999999</v>
      </c>
      <c r="J10" s="3">
        <f t="shared" si="0"/>
        <v>2.4301549999999996</v>
      </c>
      <c r="K10" s="17">
        <f t="shared" si="2"/>
        <v>14.068480000000001</v>
      </c>
      <c r="L10" s="35">
        <f t="shared" ref="L10:L17" si="7">L9</f>
        <v>8.8000000000000007</v>
      </c>
      <c r="M10" s="36">
        <f t="shared" si="3"/>
        <v>1.9996899999999997</v>
      </c>
      <c r="N10" s="36">
        <f t="shared" si="4"/>
        <v>0.51449999999999996</v>
      </c>
      <c r="O10" s="35">
        <f>I10*W10</f>
        <v>2.3598399999999997</v>
      </c>
      <c r="P10" s="35">
        <f t="shared" si="5"/>
        <v>4.9734999999999994E-2</v>
      </c>
      <c r="Q10" s="35">
        <f t="shared" si="6"/>
        <v>0.34471499999999988</v>
      </c>
      <c r="R10" s="35">
        <v>0.5</v>
      </c>
      <c r="S10" s="35">
        <f>'2011 temp calcs'!D12/100</f>
        <v>0.14169999999999999</v>
      </c>
      <c r="T10" s="35">
        <f t="shared" ref="T10:T17" si="8">T9</f>
        <v>0.1166</v>
      </c>
      <c r="U10" s="35"/>
      <c r="V10" s="35">
        <f t="shared" ref="V10:V17" si="9">V9</f>
        <v>0.03</v>
      </c>
      <c r="W10" s="35">
        <f>'2011 temp calcs'!D6/100</f>
        <v>0.1376</v>
      </c>
      <c r="X10" s="35">
        <f t="shared" ref="X10:X17" si="10">X9</f>
        <v>2.8999999999999998E-3</v>
      </c>
      <c r="Y10" s="35">
        <f t="shared" ref="Y10:Y17" si="11">Y9</f>
        <v>2.0099999999999996E-2</v>
      </c>
      <c r="Z10" s="35">
        <f t="shared" ref="Z10:Z17" si="12">Z9</f>
        <v>8.8000000000000007</v>
      </c>
      <c r="AA10" s="35"/>
    </row>
    <row r="11" spans="1:27" x14ac:dyDescent="0.25">
      <c r="A11" s="10"/>
      <c r="B11" s="5"/>
      <c r="C11" s="5"/>
      <c r="D11" s="10" t="s">
        <v>34</v>
      </c>
      <c r="E11" s="5"/>
      <c r="F11" s="3">
        <f>I11+J11+K11</f>
        <v>36.133498500000002</v>
      </c>
      <c r="G11" s="5" t="s">
        <v>17</v>
      </c>
      <c r="H11" s="5"/>
      <c r="I11" s="3">
        <f t="shared" si="1"/>
        <v>18.864999999999998</v>
      </c>
      <c r="J11" s="3">
        <f t="shared" si="0"/>
        <v>2.6731704999999994</v>
      </c>
      <c r="K11" s="17">
        <f t="shared" si="2"/>
        <v>14.595328000000002</v>
      </c>
      <c r="L11" s="35">
        <f t="shared" si="7"/>
        <v>8.8000000000000007</v>
      </c>
      <c r="M11" s="36">
        <f t="shared" si="3"/>
        <v>2.1996589999999996</v>
      </c>
      <c r="N11" s="36">
        <f t="shared" si="4"/>
        <v>0.56594999999999995</v>
      </c>
      <c r="O11" s="35">
        <f t="shared" ref="O11:O17" si="13">I11*W11</f>
        <v>2.5958239999999999</v>
      </c>
      <c r="P11" s="35">
        <f t="shared" si="5"/>
        <v>5.4708499999999993E-2</v>
      </c>
      <c r="Q11" s="35">
        <f t="shared" si="6"/>
        <v>0.37918649999999993</v>
      </c>
      <c r="R11" s="35">
        <v>0.55000000000000004</v>
      </c>
      <c r="S11" s="35">
        <f>S10</f>
        <v>0.14169999999999999</v>
      </c>
      <c r="T11" s="35">
        <f t="shared" si="8"/>
        <v>0.1166</v>
      </c>
      <c r="U11" s="35"/>
      <c r="V11" s="35">
        <f t="shared" si="9"/>
        <v>0.03</v>
      </c>
      <c r="W11" s="35">
        <f>W10</f>
        <v>0.1376</v>
      </c>
      <c r="X11" s="35">
        <f t="shared" si="10"/>
        <v>2.8999999999999998E-3</v>
      </c>
      <c r="Y11" s="35">
        <f t="shared" si="11"/>
        <v>2.0099999999999996E-2</v>
      </c>
      <c r="Z11" s="35">
        <f t="shared" si="12"/>
        <v>8.8000000000000007</v>
      </c>
      <c r="AA11" s="35"/>
    </row>
    <row r="12" spans="1:27" x14ac:dyDescent="0.25">
      <c r="A12" s="10"/>
      <c r="B12" s="5"/>
      <c r="C12" s="5"/>
      <c r="D12" s="10" t="s">
        <v>35</v>
      </c>
      <c r="E12" s="5"/>
      <c r="F12" s="3"/>
      <c r="G12" s="5" t="s">
        <v>17</v>
      </c>
      <c r="H12" s="5"/>
      <c r="I12" s="3">
        <f t="shared" si="1"/>
        <v>20.58</v>
      </c>
      <c r="J12" s="3">
        <f t="shared" si="0"/>
        <v>2.9161859999999997</v>
      </c>
      <c r="K12" s="17">
        <f t="shared" si="2"/>
        <v>15.122176</v>
      </c>
      <c r="L12" s="35">
        <f t="shared" si="7"/>
        <v>8.8000000000000007</v>
      </c>
      <c r="M12" s="36">
        <f t="shared" si="3"/>
        <v>2.3996279999999999</v>
      </c>
      <c r="N12" s="36">
        <f t="shared" si="4"/>
        <v>0.61739999999999995</v>
      </c>
      <c r="O12" s="35">
        <f t="shared" si="13"/>
        <v>2.8318079999999997</v>
      </c>
      <c r="P12" s="35">
        <f t="shared" si="5"/>
        <v>5.9681999999999992E-2</v>
      </c>
      <c r="Q12" s="35">
        <f t="shared" si="6"/>
        <v>0.41365799999999991</v>
      </c>
      <c r="R12" s="35">
        <v>0.6</v>
      </c>
      <c r="S12" s="35">
        <f t="shared" ref="S12:S17" si="14">S11</f>
        <v>0.14169999999999999</v>
      </c>
      <c r="T12" s="35">
        <f t="shared" si="8"/>
        <v>0.1166</v>
      </c>
      <c r="U12" s="35"/>
      <c r="V12" s="35">
        <f t="shared" si="9"/>
        <v>0.03</v>
      </c>
      <c r="W12" s="35">
        <f t="shared" ref="W12:W17" si="15">W11</f>
        <v>0.1376</v>
      </c>
      <c r="X12" s="35">
        <f t="shared" si="10"/>
        <v>2.8999999999999998E-3</v>
      </c>
      <c r="Y12" s="35">
        <f t="shared" si="11"/>
        <v>2.0099999999999996E-2</v>
      </c>
      <c r="Z12" s="35">
        <f t="shared" si="12"/>
        <v>8.8000000000000007</v>
      </c>
      <c r="AA12" s="35"/>
    </row>
    <row r="13" spans="1:27" x14ac:dyDescent="0.25">
      <c r="A13" s="10"/>
      <c r="B13" s="5"/>
      <c r="C13" s="5"/>
      <c r="D13" s="10" t="s">
        <v>36</v>
      </c>
      <c r="E13" s="5"/>
      <c r="F13" s="3"/>
      <c r="G13" s="5" t="s">
        <v>17</v>
      </c>
      <c r="H13" s="5"/>
      <c r="I13" s="3">
        <f t="shared" si="1"/>
        <v>22.294999999999998</v>
      </c>
      <c r="J13" s="3">
        <f t="shared" si="0"/>
        <v>3.1592014999999996</v>
      </c>
      <c r="K13" s="17">
        <f t="shared" si="2"/>
        <v>15.649024000000001</v>
      </c>
      <c r="L13" s="35">
        <f t="shared" si="7"/>
        <v>8.8000000000000007</v>
      </c>
      <c r="M13" s="36">
        <f t="shared" si="3"/>
        <v>2.5995969999999997</v>
      </c>
      <c r="N13" s="36">
        <f t="shared" si="4"/>
        <v>0.66884999999999994</v>
      </c>
      <c r="O13" s="35">
        <f t="shared" si="13"/>
        <v>3.0677919999999999</v>
      </c>
      <c r="P13" s="35">
        <f t="shared" si="5"/>
        <v>6.4655499999999991E-2</v>
      </c>
      <c r="Q13" s="35">
        <f t="shared" si="6"/>
        <v>0.4481294999999999</v>
      </c>
      <c r="R13" s="35">
        <v>0.65</v>
      </c>
      <c r="S13" s="35">
        <f t="shared" si="14"/>
        <v>0.14169999999999999</v>
      </c>
      <c r="T13" s="35">
        <f t="shared" si="8"/>
        <v>0.1166</v>
      </c>
      <c r="U13" s="35"/>
      <c r="V13" s="35">
        <f t="shared" si="9"/>
        <v>0.03</v>
      </c>
      <c r="W13" s="35">
        <f t="shared" si="15"/>
        <v>0.1376</v>
      </c>
      <c r="X13" s="35">
        <f t="shared" si="10"/>
        <v>2.8999999999999998E-3</v>
      </c>
      <c r="Y13" s="35">
        <f t="shared" si="11"/>
        <v>2.0099999999999996E-2</v>
      </c>
      <c r="Z13" s="35">
        <f t="shared" si="12"/>
        <v>8.8000000000000007</v>
      </c>
      <c r="AA13" s="35"/>
    </row>
    <row r="14" spans="1:27" s="74" customFormat="1" x14ac:dyDescent="0.25">
      <c r="A14" s="68"/>
      <c r="B14" s="69"/>
      <c r="C14" s="69"/>
      <c r="D14" s="68" t="s">
        <v>37</v>
      </c>
      <c r="E14" s="69"/>
      <c r="F14" s="70"/>
      <c r="G14" s="69" t="s">
        <v>17</v>
      </c>
      <c r="H14" s="69"/>
      <c r="I14" s="70">
        <f t="shared" si="1"/>
        <v>24.009999999999998</v>
      </c>
      <c r="J14" s="70">
        <f t="shared" si="0"/>
        <v>3.4022169999999994</v>
      </c>
      <c r="K14" s="71">
        <f t="shared" si="2"/>
        <v>16.175871999999998</v>
      </c>
      <c r="L14" s="72">
        <f t="shared" si="7"/>
        <v>8.8000000000000007</v>
      </c>
      <c r="M14" s="73">
        <f t="shared" si="3"/>
        <v>2.7995659999999996</v>
      </c>
      <c r="N14" s="73">
        <f t="shared" si="4"/>
        <v>0.72029999999999994</v>
      </c>
      <c r="O14" s="72">
        <f t="shared" si="13"/>
        <v>3.3037759999999996</v>
      </c>
      <c r="P14" s="72">
        <f t="shared" si="5"/>
        <v>6.9628999999999983E-2</v>
      </c>
      <c r="Q14" s="72">
        <f t="shared" si="6"/>
        <v>0.48260099999999989</v>
      </c>
      <c r="R14" s="72">
        <v>0.7</v>
      </c>
      <c r="S14" s="72">
        <f t="shared" si="14"/>
        <v>0.14169999999999999</v>
      </c>
      <c r="T14" s="72">
        <f t="shared" si="8"/>
        <v>0.1166</v>
      </c>
      <c r="U14" s="72"/>
      <c r="V14" s="72">
        <f t="shared" si="9"/>
        <v>0.03</v>
      </c>
      <c r="W14" s="72">
        <f t="shared" si="15"/>
        <v>0.1376</v>
      </c>
      <c r="X14" s="72">
        <f t="shared" si="10"/>
        <v>2.8999999999999998E-3</v>
      </c>
      <c r="Y14" s="72">
        <f t="shared" si="11"/>
        <v>2.0099999999999996E-2</v>
      </c>
      <c r="Z14" s="72">
        <f t="shared" si="12"/>
        <v>8.8000000000000007</v>
      </c>
      <c r="AA14" s="72"/>
    </row>
    <row r="15" spans="1:27" x14ac:dyDescent="0.25">
      <c r="A15" s="10"/>
      <c r="B15" s="5"/>
      <c r="C15" s="5"/>
      <c r="D15" s="10" t="s">
        <v>38</v>
      </c>
      <c r="E15" s="5"/>
      <c r="F15" s="3"/>
      <c r="G15" s="5" t="s">
        <v>17</v>
      </c>
      <c r="H15" s="5"/>
      <c r="I15" s="3">
        <f t="shared" si="1"/>
        <v>26.067999999999998</v>
      </c>
      <c r="J15" s="3">
        <f t="shared" si="0"/>
        <v>3.6938355999999994</v>
      </c>
      <c r="K15" s="17">
        <f t="shared" si="2"/>
        <v>16.808089600000002</v>
      </c>
      <c r="L15" s="35">
        <f t="shared" si="7"/>
        <v>8.8000000000000007</v>
      </c>
      <c r="M15" s="36">
        <f t="shared" si="3"/>
        <v>3.0395287999999998</v>
      </c>
      <c r="N15" s="36">
        <f t="shared" si="4"/>
        <v>0.78203999999999996</v>
      </c>
      <c r="O15" s="35">
        <f t="shared" si="13"/>
        <v>3.5869567999999998</v>
      </c>
      <c r="P15" s="35">
        <f t="shared" si="5"/>
        <v>7.5597199999999989E-2</v>
      </c>
      <c r="Q15" s="35">
        <f t="shared" si="6"/>
        <v>0.52396679999999984</v>
      </c>
      <c r="R15" s="35">
        <v>0.76</v>
      </c>
      <c r="S15" s="35">
        <f t="shared" si="14"/>
        <v>0.14169999999999999</v>
      </c>
      <c r="T15" s="35">
        <f t="shared" si="8"/>
        <v>0.1166</v>
      </c>
      <c r="U15" s="35"/>
      <c r="V15" s="35">
        <f t="shared" si="9"/>
        <v>0.03</v>
      </c>
      <c r="W15" s="35">
        <f t="shared" si="15"/>
        <v>0.1376</v>
      </c>
      <c r="X15" s="35">
        <f t="shared" si="10"/>
        <v>2.8999999999999998E-3</v>
      </c>
      <c r="Y15" s="35">
        <f t="shared" si="11"/>
        <v>2.0099999999999996E-2</v>
      </c>
      <c r="Z15" s="35">
        <f t="shared" si="12"/>
        <v>8.8000000000000007</v>
      </c>
      <c r="AA15" s="35"/>
    </row>
    <row r="16" spans="1:27" x14ac:dyDescent="0.25">
      <c r="A16" s="10"/>
      <c r="B16" s="5"/>
      <c r="C16" s="5"/>
      <c r="D16" s="10" t="s">
        <v>39</v>
      </c>
      <c r="E16" s="5"/>
      <c r="F16" s="3"/>
      <c r="G16" s="5" t="s">
        <v>17</v>
      </c>
      <c r="H16" s="5"/>
      <c r="I16" s="3">
        <f t="shared" si="1"/>
        <v>28.468999999999998</v>
      </c>
      <c r="J16" s="3">
        <f t="shared" si="0"/>
        <v>4.0340572999999997</v>
      </c>
      <c r="K16" s="17">
        <f t="shared" si="2"/>
        <v>17.545676799999999</v>
      </c>
      <c r="L16" s="35">
        <f t="shared" si="7"/>
        <v>8.8000000000000007</v>
      </c>
      <c r="M16" s="36">
        <f t="shared" si="3"/>
        <v>3.3194853999999996</v>
      </c>
      <c r="N16" s="36">
        <f t="shared" si="4"/>
        <v>0.85406999999999988</v>
      </c>
      <c r="O16" s="35">
        <f t="shared" si="13"/>
        <v>3.9173343999999997</v>
      </c>
      <c r="P16" s="35">
        <f t="shared" si="5"/>
        <v>8.2560099999999983E-2</v>
      </c>
      <c r="Q16" s="35">
        <f t="shared" si="6"/>
        <v>0.57222689999999987</v>
      </c>
      <c r="R16" s="35">
        <v>0.83</v>
      </c>
      <c r="S16" s="35">
        <f t="shared" si="14"/>
        <v>0.14169999999999999</v>
      </c>
      <c r="T16" s="35">
        <f t="shared" si="8"/>
        <v>0.1166</v>
      </c>
      <c r="U16" s="35"/>
      <c r="V16" s="35">
        <f t="shared" si="9"/>
        <v>0.03</v>
      </c>
      <c r="W16" s="35">
        <f t="shared" si="15"/>
        <v>0.1376</v>
      </c>
      <c r="X16" s="35">
        <f t="shared" si="10"/>
        <v>2.8999999999999998E-3</v>
      </c>
      <c r="Y16" s="35">
        <f t="shared" si="11"/>
        <v>2.0099999999999996E-2</v>
      </c>
      <c r="Z16" s="35">
        <f t="shared" si="12"/>
        <v>8.8000000000000007</v>
      </c>
      <c r="AA16" s="35"/>
    </row>
    <row r="17" spans="1:27" x14ac:dyDescent="0.25">
      <c r="A17" s="10"/>
      <c r="B17" s="5"/>
      <c r="C17" s="5"/>
      <c r="D17" s="10" t="s">
        <v>40</v>
      </c>
      <c r="E17" s="5"/>
      <c r="F17" s="3"/>
      <c r="G17" s="5" t="s">
        <v>17</v>
      </c>
      <c r="H17" s="5"/>
      <c r="I17" s="3">
        <f t="shared" si="1"/>
        <v>31.212999999999997</v>
      </c>
      <c r="J17" s="3">
        <f t="shared" si="0"/>
        <v>4.4228820999999998</v>
      </c>
      <c r="K17" s="17">
        <f t="shared" si="2"/>
        <v>18.388633599999999</v>
      </c>
      <c r="L17" s="35">
        <f t="shared" si="7"/>
        <v>8.8000000000000007</v>
      </c>
      <c r="M17" s="36">
        <f t="shared" si="3"/>
        <v>3.6394357999999993</v>
      </c>
      <c r="N17" s="36">
        <f t="shared" si="4"/>
        <v>0.93638999999999983</v>
      </c>
      <c r="O17" s="35">
        <f t="shared" si="13"/>
        <v>4.2949088</v>
      </c>
      <c r="P17" s="35">
        <f t="shared" si="5"/>
        <v>9.0517699999999993E-2</v>
      </c>
      <c r="Q17" s="35">
        <f t="shared" si="6"/>
        <v>0.62738129999999981</v>
      </c>
      <c r="R17" s="35">
        <v>0.91</v>
      </c>
      <c r="S17" s="35">
        <f t="shared" si="14"/>
        <v>0.14169999999999999</v>
      </c>
      <c r="T17" s="35">
        <f t="shared" si="8"/>
        <v>0.1166</v>
      </c>
      <c r="U17" s="35"/>
      <c r="V17" s="35">
        <f t="shared" si="9"/>
        <v>0.03</v>
      </c>
      <c r="W17" s="35">
        <f t="shared" si="15"/>
        <v>0.1376</v>
      </c>
      <c r="X17" s="35">
        <f t="shared" si="10"/>
        <v>2.8999999999999998E-3</v>
      </c>
      <c r="Y17" s="35">
        <f t="shared" si="11"/>
        <v>2.0099999999999996E-2</v>
      </c>
      <c r="Z17" s="35">
        <f t="shared" si="12"/>
        <v>8.8000000000000007</v>
      </c>
      <c r="AA17" s="35"/>
    </row>
    <row r="18" spans="1:27" x14ac:dyDescent="0.25">
      <c r="A18" s="10"/>
      <c r="B18" s="5"/>
      <c r="C18" s="5"/>
      <c r="D18" s="10"/>
      <c r="E18" s="5"/>
      <c r="F18" s="5"/>
      <c r="G18" s="5"/>
      <c r="H18" s="5"/>
      <c r="I18" s="3"/>
      <c r="J18" s="3"/>
      <c r="K18" s="17">
        <f>I14+J14</f>
        <v>27.412216999999998</v>
      </c>
      <c r="L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</row>
    <row r="19" spans="1:27" x14ac:dyDescent="0.25">
      <c r="A19" s="10" t="s">
        <v>22</v>
      </c>
      <c r="B19" s="5"/>
      <c r="C19" s="5"/>
      <c r="D19" s="10"/>
      <c r="E19" s="5"/>
      <c r="F19" s="5"/>
      <c r="G19" s="5"/>
      <c r="H19" s="5"/>
      <c r="I19" s="3"/>
      <c r="J19" s="3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</row>
    <row r="20" spans="1:27" x14ac:dyDescent="0.25">
      <c r="A20" s="10"/>
      <c r="B20" s="5"/>
      <c r="C20" s="10"/>
      <c r="D20" s="10" t="s">
        <v>31</v>
      </c>
      <c r="E20" s="5"/>
      <c r="F20" s="5"/>
      <c r="G20" s="5" t="s">
        <v>17</v>
      </c>
      <c r="H20" s="5"/>
      <c r="I20" s="3">
        <f>I8*1.5</f>
        <v>20.58</v>
      </c>
      <c r="J20" s="3">
        <v>0</v>
      </c>
      <c r="K20" s="3">
        <f t="shared" ref="K20:K29" si="16">K8*1.5</f>
        <v>16.690367999999999</v>
      </c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</row>
    <row r="21" spans="1:27" x14ac:dyDescent="0.25">
      <c r="A21" s="10"/>
      <c r="B21" s="5"/>
      <c r="C21" s="5"/>
      <c r="D21" s="10" t="s">
        <v>32</v>
      </c>
      <c r="E21" s="5"/>
      <c r="F21" s="5"/>
      <c r="G21" s="5" t="s">
        <v>17</v>
      </c>
      <c r="H21" s="5"/>
      <c r="I21" s="3">
        <f t="shared" ref="I21:J29" si="17">I9*1.5</f>
        <v>23.152499999999996</v>
      </c>
      <c r="J21" s="3">
        <v>0</v>
      </c>
      <c r="K21" s="3">
        <f t="shared" si="16"/>
        <v>17.126664000000002</v>
      </c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</row>
    <row r="22" spans="1:27" x14ac:dyDescent="0.25">
      <c r="A22" s="10"/>
      <c r="B22" s="5"/>
      <c r="C22" s="5"/>
      <c r="D22" s="10" t="s">
        <v>33</v>
      </c>
      <c r="E22" s="5"/>
      <c r="F22" s="5"/>
      <c r="G22" s="5" t="s">
        <v>17</v>
      </c>
      <c r="H22" s="5"/>
      <c r="I22" s="3">
        <f t="shared" si="17"/>
        <v>25.724999999999998</v>
      </c>
      <c r="J22" s="3">
        <f t="shared" si="17"/>
        <v>3.6452324999999997</v>
      </c>
      <c r="K22" s="3">
        <f t="shared" si="16"/>
        <v>21.102720000000001</v>
      </c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</row>
    <row r="23" spans="1:27" x14ac:dyDescent="0.25">
      <c r="A23" s="10"/>
      <c r="B23" s="5"/>
      <c r="C23" s="5"/>
      <c r="D23" s="10" t="s">
        <v>34</v>
      </c>
      <c r="E23" s="5"/>
      <c r="F23" s="3"/>
      <c r="G23" s="5" t="s">
        <v>17</v>
      </c>
      <c r="H23" s="5"/>
      <c r="I23" s="3">
        <f t="shared" si="17"/>
        <v>28.297499999999999</v>
      </c>
      <c r="J23" s="3">
        <f t="shared" si="17"/>
        <v>4.0097557499999992</v>
      </c>
      <c r="K23" s="3">
        <f t="shared" si="16"/>
        <v>21.892992000000003</v>
      </c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</row>
    <row r="24" spans="1:27" x14ac:dyDescent="0.25">
      <c r="A24" s="10"/>
      <c r="B24" s="5"/>
      <c r="C24" s="5"/>
      <c r="D24" s="10" t="s">
        <v>35</v>
      </c>
      <c r="E24" s="5"/>
      <c r="F24" s="5"/>
      <c r="G24" s="5" t="s">
        <v>17</v>
      </c>
      <c r="H24" s="5"/>
      <c r="I24" s="3">
        <f t="shared" si="17"/>
        <v>30.869999999999997</v>
      </c>
      <c r="J24" s="3">
        <f t="shared" si="17"/>
        <v>4.3742789999999996</v>
      </c>
      <c r="K24" s="3">
        <f t="shared" si="16"/>
        <v>22.683264000000001</v>
      </c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</row>
    <row r="25" spans="1:27" x14ac:dyDescent="0.25">
      <c r="A25" s="10"/>
      <c r="B25" s="5"/>
      <c r="C25" s="5"/>
      <c r="D25" s="10" t="s">
        <v>36</v>
      </c>
      <c r="E25" s="5"/>
      <c r="F25" s="5"/>
      <c r="G25" s="5" t="s">
        <v>17</v>
      </c>
      <c r="H25" s="5"/>
      <c r="I25" s="3">
        <f t="shared" si="17"/>
        <v>33.442499999999995</v>
      </c>
      <c r="J25" s="3">
        <f t="shared" si="17"/>
        <v>4.7388022499999991</v>
      </c>
      <c r="K25" s="3">
        <f t="shared" si="16"/>
        <v>23.473536000000003</v>
      </c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</row>
    <row r="26" spans="1:27" x14ac:dyDescent="0.25">
      <c r="A26" s="10"/>
      <c r="B26" s="5"/>
      <c r="C26" s="5"/>
      <c r="D26" s="10" t="s">
        <v>37</v>
      </c>
      <c r="E26" s="5"/>
      <c r="F26" s="5"/>
      <c r="G26" s="5" t="s">
        <v>17</v>
      </c>
      <c r="H26" s="5"/>
      <c r="I26" s="3">
        <f t="shared" si="17"/>
        <v>36.015000000000001</v>
      </c>
      <c r="J26" s="3">
        <f t="shared" si="17"/>
        <v>5.1033254999999986</v>
      </c>
      <c r="K26" s="3">
        <f t="shared" si="16"/>
        <v>24.263807999999997</v>
      </c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</row>
    <row r="27" spans="1:27" x14ac:dyDescent="0.25">
      <c r="A27" s="10"/>
      <c r="B27" s="5"/>
      <c r="C27" s="5"/>
      <c r="D27" s="10" t="s">
        <v>38</v>
      </c>
      <c r="E27" s="5"/>
      <c r="F27" s="5"/>
      <c r="G27" s="5" t="s">
        <v>17</v>
      </c>
      <c r="H27" s="5"/>
      <c r="I27" s="3">
        <f t="shared" si="17"/>
        <v>39.101999999999997</v>
      </c>
      <c r="J27" s="3">
        <f t="shared" si="17"/>
        <v>5.5407533999999989</v>
      </c>
      <c r="K27" s="3">
        <f t="shared" si="16"/>
        <v>25.212134400000004</v>
      </c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</row>
    <row r="28" spans="1:27" x14ac:dyDescent="0.25">
      <c r="A28" s="10"/>
      <c r="B28" s="5"/>
      <c r="C28" s="5"/>
      <c r="D28" s="10" t="s">
        <v>39</v>
      </c>
      <c r="E28" s="5"/>
      <c r="F28" s="5"/>
      <c r="G28" s="5" t="s">
        <v>17</v>
      </c>
      <c r="H28" s="5"/>
      <c r="I28" s="3">
        <f t="shared" si="17"/>
        <v>42.703499999999998</v>
      </c>
      <c r="J28" s="3">
        <f t="shared" si="17"/>
        <v>6.0510859499999992</v>
      </c>
      <c r="K28" s="3">
        <f t="shared" si="16"/>
        <v>26.3185152</v>
      </c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</row>
    <row r="29" spans="1:27" x14ac:dyDescent="0.25">
      <c r="A29" s="10"/>
      <c r="B29" s="5"/>
      <c r="C29" s="5"/>
      <c r="D29" s="10" t="s">
        <v>40</v>
      </c>
      <c r="E29" s="5"/>
      <c r="F29" s="5"/>
      <c r="G29" s="5" t="s">
        <v>17</v>
      </c>
      <c r="H29" s="5"/>
      <c r="I29" s="3">
        <f t="shared" si="17"/>
        <v>46.819499999999998</v>
      </c>
      <c r="J29" s="3">
        <f t="shared" si="17"/>
        <v>6.6343231500000002</v>
      </c>
      <c r="K29" s="3">
        <f t="shared" si="16"/>
        <v>27.582950399999998</v>
      </c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</row>
    <row r="30" spans="1:27" x14ac:dyDescent="0.25">
      <c r="A30" s="12"/>
      <c r="B30" s="12"/>
      <c r="C30" s="12"/>
      <c r="D30" s="12"/>
      <c r="E30" s="18"/>
      <c r="F30" s="18"/>
      <c r="G30" s="18"/>
      <c r="H30" s="18"/>
      <c r="I30" s="12"/>
      <c r="J30" s="12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</row>
    <row r="31" spans="1:27" x14ac:dyDescent="0.25">
      <c r="A31" s="10"/>
      <c r="B31" s="5"/>
      <c r="C31" s="5"/>
      <c r="D31" s="10"/>
      <c r="E31" s="5"/>
      <c r="F31" s="5"/>
      <c r="G31" s="5"/>
      <c r="H31" s="5"/>
      <c r="I31" s="2"/>
      <c r="J31" s="2"/>
      <c r="K31" s="3" t="s">
        <v>0</v>
      </c>
    </row>
    <row r="32" spans="1:27" x14ac:dyDescent="0.25">
      <c r="A32" s="19" t="s">
        <v>67</v>
      </c>
      <c r="B32" s="20"/>
      <c r="C32" s="20"/>
      <c r="D32" s="19"/>
      <c r="E32" s="20"/>
      <c r="F32" s="5"/>
      <c r="G32" s="5"/>
      <c r="H32" s="5"/>
      <c r="I32" s="2"/>
      <c r="J32" s="2"/>
      <c r="K32" s="3" t="s">
        <v>1</v>
      </c>
    </row>
    <row r="33" spans="1:27" x14ac:dyDescent="0.25">
      <c r="A33" s="12"/>
      <c r="B33" s="5"/>
      <c r="C33" s="5"/>
      <c r="D33" s="10"/>
      <c r="E33" s="5"/>
      <c r="F33" s="5"/>
      <c r="G33" s="5"/>
      <c r="H33" s="5"/>
      <c r="I33" s="5" t="s">
        <v>2</v>
      </c>
      <c r="J33" s="5" t="s">
        <v>3</v>
      </c>
      <c r="K33" s="3" t="s">
        <v>4</v>
      </c>
    </row>
    <row r="34" spans="1:27" x14ac:dyDescent="0.25">
      <c r="A34" s="10"/>
      <c r="B34" s="5"/>
      <c r="C34" s="5"/>
      <c r="D34" s="10"/>
      <c r="E34" s="5" t="s">
        <v>13</v>
      </c>
      <c r="F34" s="5"/>
      <c r="G34" s="5" t="s">
        <v>9</v>
      </c>
      <c r="H34" s="5"/>
      <c r="I34" s="5" t="s">
        <v>10</v>
      </c>
      <c r="J34" s="5" t="s">
        <v>11</v>
      </c>
      <c r="K34" s="3" t="s">
        <v>12</v>
      </c>
      <c r="L34" s="5" t="s">
        <v>53</v>
      </c>
      <c r="M34" s="5" t="s">
        <v>9</v>
      </c>
      <c r="N34" s="5" t="s">
        <v>41</v>
      </c>
      <c r="O34" s="5" t="s">
        <v>55</v>
      </c>
      <c r="P34" s="5" t="s">
        <v>56</v>
      </c>
      <c r="Q34" s="5" t="s">
        <v>45</v>
      </c>
      <c r="R34" s="5"/>
      <c r="S34" s="5"/>
      <c r="T34" s="5"/>
      <c r="U34" s="5"/>
      <c r="V34" s="5"/>
      <c r="W34" s="5"/>
      <c r="X34" s="5"/>
      <c r="Y34" s="5"/>
      <c r="Z34" s="5"/>
      <c r="AA34" s="5"/>
    </row>
    <row r="35" spans="1:27" x14ac:dyDescent="0.25">
      <c r="A35" s="10" t="s">
        <v>14</v>
      </c>
      <c r="B35" s="5">
        <v>2</v>
      </c>
      <c r="C35" s="12"/>
      <c r="D35" s="10" t="s">
        <v>30</v>
      </c>
      <c r="E35" s="5"/>
      <c r="F35" s="5"/>
      <c r="G35" s="5"/>
      <c r="H35" s="5"/>
      <c r="I35" s="15"/>
      <c r="J35" s="16"/>
      <c r="K35" s="3"/>
    </row>
    <row r="36" spans="1:27" x14ac:dyDescent="0.25">
      <c r="A36" s="10"/>
      <c r="B36" s="5"/>
      <c r="C36" s="5"/>
      <c r="D36" s="10" t="s">
        <v>31</v>
      </c>
      <c r="E36" s="10"/>
      <c r="F36" s="5"/>
      <c r="G36" s="5" t="s">
        <v>17</v>
      </c>
      <c r="H36" s="5"/>
      <c r="I36" s="3">
        <f>I8</f>
        <v>13.719999999999999</v>
      </c>
      <c r="J36" s="3">
        <f>J8</f>
        <v>0</v>
      </c>
      <c r="K36" s="3">
        <f>K8</f>
        <v>11.126912000000001</v>
      </c>
      <c r="L36" s="21">
        <v>8.8000000000000007</v>
      </c>
      <c r="M36" s="21">
        <v>1.5997519999999998</v>
      </c>
      <c r="N36" s="21">
        <v>0.41159999999999997</v>
      </c>
      <c r="O36" s="21">
        <v>0</v>
      </c>
      <c r="P36" s="21">
        <v>3.9787999999999997E-2</v>
      </c>
      <c r="Q36" s="21">
        <v>0.27577199999999991</v>
      </c>
      <c r="R36" s="21"/>
      <c r="S36" s="21"/>
      <c r="T36" s="21"/>
      <c r="U36" s="21"/>
      <c r="V36" s="21"/>
      <c r="W36" s="21"/>
      <c r="X36" s="21"/>
      <c r="Y36" s="21"/>
      <c r="Z36" s="21"/>
      <c r="AA36" s="21"/>
    </row>
    <row r="37" spans="1:27" x14ac:dyDescent="0.25">
      <c r="A37" s="10"/>
      <c r="B37" s="5"/>
      <c r="C37" s="5"/>
      <c r="D37" s="10" t="s">
        <v>32</v>
      </c>
      <c r="E37" s="5"/>
      <c r="F37" s="5"/>
      <c r="G37" s="5" t="s">
        <v>17</v>
      </c>
      <c r="H37" s="5"/>
      <c r="I37" s="3">
        <f>I10</f>
        <v>17.149999999999999</v>
      </c>
      <c r="J37" s="3">
        <f>J10</f>
        <v>2.4301549999999996</v>
      </c>
      <c r="K37" s="3">
        <f>K10</f>
        <v>14.068480000000001</v>
      </c>
      <c r="L37" s="21">
        <v>8.8000000000000007</v>
      </c>
      <c r="M37" s="21">
        <v>1.9996899999999997</v>
      </c>
      <c r="N37" s="21">
        <v>0.51449999999999996</v>
      </c>
      <c r="O37" s="21">
        <v>2.3598399999999997</v>
      </c>
      <c r="P37" s="21">
        <v>4.9734999999999994E-2</v>
      </c>
      <c r="Q37" s="21">
        <v>0.34471499999999988</v>
      </c>
      <c r="R37" s="21"/>
      <c r="S37" s="21"/>
      <c r="T37" s="21"/>
      <c r="U37" s="21"/>
      <c r="V37" s="21"/>
      <c r="W37" s="21"/>
      <c r="X37" s="21"/>
      <c r="Y37" s="21"/>
      <c r="Z37" s="21"/>
      <c r="AA37" s="21"/>
    </row>
    <row r="38" spans="1:27" x14ac:dyDescent="0.25">
      <c r="A38" s="10"/>
      <c r="B38" s="5"/>
      <c r="C38" s="5"/>
      <c r="D38" s="10" t="s">
        <v>33</v>
      </c>
      <c r="E38" s="5"/>
      <c r="F38" s="5"/>
      <c r="G38" s="5" t="s">
        <v>17</v>
      </c>
      <c r="H38" s="5"/>
      <c r="I38" s="3">
        <f>I12</f>
        <v>20.58</v>
      </c>
      <c r="J38" s="3">
        <f>J12</f>
        <v>2.9161859999999997</v>
      </c>
      <c r="K38" s="3">
        <f>K12</f>
        <v>15.122176</v>
      </c>
      <c r="L38" s="21">
        <v>8.8000000000000007</v>
      </c>
      <c r="M38" s="21">
        <v>2.3996279999999999</v>
      </c>
      <c r="N38" s="21">
        <v>0.61739999999999995</v>
      </c>
      <c r="O38" s="21">
        <v>2.8318079999999997</v>
      </c>
      <c r="P38" s="21">
        <v>5.9681999999999992E-2</v>
      </c>
      <c r="Q38" s="21">
        <v>0.41365799999999991</v>
      </c>
      <c r="R38" s="21"/>
      <c r="S38" s="21"/>
      <c r="T38" s="21"/>
      <c r="U38" s="21"/>
      <c r="V38" s="21"/>
      <c r="W38" s="21"/>
      <c r="X38" s="21"/>
      <c r="Y38" s="21"/>
      <c r="Z38" s="21"/>
      <c r="AA38" s="21"/>
    </row>
    <row r="39" spans="1:27" s="34" customFormat="1" x14ac:dyDescent="0.25">
      <c r="D39" s="31" t="s">
        <v>60</v>
      </c>
      <c r="E39" s="32"/>
      <c r="F39" s="33">
        <f>I39+J39+K39</f>
        <v>43.588088999999997</v>
      </c>
      <c r="G39" s="32" t="s">
        <v>17</v>
      </c>
      <c r="H39" s="32"/>
      <c r="I39" s="33">
        <f>I14</f>
        <v>24.009999999999998</v>
      </c>
      <c r="J39" s="33">
        <f>J14</f>
        <v>3.4022169999999994</v>
      </c>
      <c r="K39" s="33">
        <f>K14</f>
        <v>16.175871999999998</v>
      </c>
      <c r="L39" s="37">
        <v>8.8000000000000007</v>
      </c>
      <c r="M39" s="37">
        <v>2.7995659999999996</v>
      </c>
      <c r="N39" s="37">
        <v>0.72029999999999994</v>
      </c>
      <c r="O39" s="37">
        <v>3.3037759999999996</v>
      </c>
      <c r="P39" s="37">
        <v>6.9628999999999983E-2</v>
      </c>
      <c r="Q39" s="37">
        <v>0.48260099999999989</v>
      </c>
      <c r="R39" s="37"/>
      <c r="S39" s="37"/>
      <c r="T39" s="37"/>
      <c r="U39" s="37"/>
      <c r="V39" s="37"/>
      <c r="W39" s="37"/>
      <c r="X39" s="37"/>
      <c r="Y39" s="37"/>
      <c r="Z39" s="37"/>
      <c r="AA39" s="37"/>
    </row>
    <row r="40" spans="1:27" x14ac:dyDescent="0.25">
      <c r="D40" s="10" t="s">
        <v>35</v>
      </c>
      <c r="E40" s="5"/>
      <c r="F40" s="5"/>
      <c r="G40" s="5" t="s">
        <v>17</v>
      </c>
      <c r="H40" s="5"/>
      <c r="I40" s="3">
        <f>I16</f>
        <v>28.468999999999998</v>
      </c>
      <c r="J40" s="3">
        <f>J16</f>
        <v>4.0340572999999997</v>
      </c>
      <c r="K40" s="3">
        <f>K16</f>
        <v>17.545676799999999</v>
      </c>
      <c r="L40" s="21">
        <v>8.8000000000000007</v>
      </c>
      <c r="M40" s="21">
        <v>3.3194853999999996</v>
      </c>
      <c r="N40" s="21">
        <v>0.85406999999999988</v>
      </c>
      <c r="O40" s="21">
        <v>3.9173343999999997</v>
      </c>
      <c r="P40" s="21">
        <v>8.2560099999999983E-2</v>
      </c>
      <c r="Q40" s="21">
        <v>0.57222689999999987</v>
      </c>
      <c r="R40" s="21"/>
      <c r="S40" s="21"/>
      <c r="T40" s="21"/>
      <c r="U40" s="21"/>
      <c r="V40" s="21"/>
      <c r="W40" s="21"/>
      <c r="X40" s="21"/>
      <c r="Y40" s="21"/>
      <c r="Z40" s="21"/>
      <c r="AA40" s="21"/>
    </row>
    <row r="41" spans="1:27" x14ac:dyDescent="0.25">
      <c r="J41" s="38">
        <f>I39-J39</f>
        <v>20.607782999999998</v>
      </c>
    </row>
    <row r="42" spans="1:27" x14ac:dyDescent="0.25">
      <c r="A42" s="10" t="s">
        <v>22</v>
      </c>
      <c r="B42" s="5"/>
      <c r="C42" s="5"/>
      <c r="D42" s="10"/>
      <c r="E42" s="5"/>
      <c r="F42" s="5"/>
      <c r="G42" s="5"/>
      <c r="H42" s="5"/>
      <c r="I42" s="3"/>
      <c r="J42" s="3"/>
      <c r="K42" s="5"/>
    </row>
    <row r="43" spans="1:27" x14ac:dyDescent="0.25">
      <c r="D43" s="10" t="s">
        <v>31</v>
      </c>
      <c r="E43" s="10"/>
      <c r="F43" s="5"/>
      <c r="G43" s="5" t="s">
        <v>17</v>
      </c>
      <c r="H43" s="5"/>
      <c r="I43" s="3">
        <f t="shared" ref="I43:K47" si="18">I36*1.5</f>
        <v>20.58</v>
      </c>
      <c r="J43" s="3">
        <f t="shared" si="18"/>
        <v>0</v>
      </c>
      <c r="K43" s="3">
        <f t="shared" si="18"/>
        <v>16.690367999999999</v>
      </c>
    </row>
    <row r="44" spans="1:27" x14ac:dyDescent="0.25">
      <c r="D44" s="10" t="s">
        <v>32</v>
      </c>
      <c r="E44" s="5"/>
      <c r="F44" s="5"/>
      <c r="G44" s="5" t="s">
        <v>17</v>
      </c>
      <c r="H44" s="5"/>
      <c r="I44" s="3">
        <f t="shared" si="18"/>
        <v>25.724999999999998</v>
      </c>
      <c r="J44" s="3">
        <f t="shared" si="18"/>
        <v>3.6452324999999997</v>
      </c>
      <c r="K44" s="3">
        <f t="shared" si="18"/>
        <v>21.102720000000001</v>
      </c>
    </row>
    <row r="45" spans="1:27" x14ac:dyDescent="0.25">
      <c r="D45" s="10" t="s">
        <v>33</v>
      </c>
      <c r="E45" s="5"/>
      <c r="F45" s="5"/>
      <c r="G45" s="5" t="s">
        <v>17</v>
      </c>
      <c r="H45" s="5"/>
      <c r="I45" s="3">
        <f t="shared" si="18"/>
        <v>30.869999999999997</v>
      </c>
      <c r="J45" s="3">
        <f t="shared" si="18"/>
        <v>4.3742789999999996</v>
      </c>
      <c r="K45" s="3">
        <f t="shared" si="18"/>
        <v>22.683264000000001</v>
      </c>
    </row>
    <row r="46" spans="1:27" x14ac:dyDescent="0.25">
      <c r="D46" s="10" t="s">
        <v>60</v>
      </c>
      <c r="E46" s="5"/>
      <c r="F46" s="5"/>
      <c r="G46" s="5" t="s">
        <v>17</v>
      </c>
      <c r="H46" s="5"/>
      <c r="I46" s="3">
        <f t="shared" si="18"/>
        <v>36.015000000000001</v>
      </c>
      <c r="J46" s="3">
        <f t="shared" si="18"/>
        <v>5.1033254999999986</v>
      </c>
      <c r="K46" s="3">
        <f t="shared" si="18"/>
        <v>24.263807999999997</v>
      </c>
    </row>
    <row r="47" spans="1:27" x14ac:dyDescent="0.25">
      <c r="D47" s="10" t="s">
        <v>35</v>
      </c>
      <c r="E47" s="5"/>
      <c r="F47" s="5"/>
      <c r="G47" s="5" t="s">
        <v>17</v>
      </c>
      <c r="H47" s="5"/>
      <c r="I47" s="3">
        <f t="shared" si="18"/>
        <v>42.703499999999998</v>
      </c>
      <c r="J47" s="3">
        <f t="shared" si="18"/>
        <v>6.0510859499999992</v>
      </c>
      <c r="K47" s="3">
        <f t="shared" si="18"/>
        <v>26.3185152</v>
      </c>
    </row>
  </sheetData>
  <sheetProtection selectLockedCells="1" selectUnlockedCells="1"/>
  <phoneticPr fontId="5" type="noConversion"/>
  <pageMargins left="0.75" right="0.75" top="1" bottom="1" header="0.5" footer="0.5"/>
  <pageSetup orientation="portrait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C1:H15"/>
  <sheetViews>
    <sheetView workbookViewId="0">
      <selection activeCell="E2" sqref="E2"/>
    </sheetView>
  </sheetViews>
  <sheetFormatPr defaultColWidth="9.109375" defaultRowHeight="13.2" x14ac:dyDescent="0.25"/>
  <cols>
    <col min="3" max="3" width="20.109375" customWidth="1"/>
    <col min="5" max="5" width="11.109375" customWidth="1"/>
    <col min="6" max="6" width="13.33203125" bestFit="1" customWidth="1"/>
  </cols>
  <sheetData>
    <row r="1" spans="3:8" x14ac:dyDescent="0.25">
      <c r="E1" t="s">
        <v>47</v>
      </c>
      <c r="F1" t="s">
        <v>100</v>
      </c>
      <c r="G1" t="s">
        <v>48</v>
      </c>
      <c r="H1" t="s">
        <v>49</v>
      </c>
    </row>
    <row r="2" spans="3:8" x14ac:dyDescent="0.25">
      <c r="C2">
        <v>2011</v>
      </c>
      <c r="D2" t="s">
        <v>46</v>
      </c>
      <c r="E2" s="21">
        <v>34.299999999999997</v>
      </c>
      <c r="F2" s="21">
        <v>35.299999999999997</v>
      </c>
      <c r="G2">
        <v>36.53</v>
      </c>
      <c r="H2">
        <v>37.729999999999997</v>
      </c>
    </row>
    <row r="4" spans="3:8" x14ac:dyDescent="0.25">
      <c r="C4" t="s">
        <v>41</v>
      </c>
      <c r="D4" s="30">
        <v>3</v>
      </c>
      <c r="E4" s="22">
        <f>ROUND($E$2*(D4/100),2)</f>
        <v>1.03</v>
      </c>
      <c r="F4" s="22">
        <f>ROUND($F$2*(D4/100),2)</f>
        <v>1.06</v>
      </c>
      <c r="G4" s="22">
        <f t="shared" ref="G4:G9" si="0">$G$2*(D4/100)</f>
        <v>1.0959000000000001</v>
      </c>
      <c r="H4" s="22">
        <f t="shared" ref="H4:H9" si="1">$H$2*(D4/100)</f>
        <v>1.1318999999999999</v>
      </c>
    </row>
    <row r="5" spans="3:8" x14ac:dyDescent="0.25">
      <c r="C5" t="s">
        <v>42</v>
      </c>
      <c r="D5" s="30">
        <v>11.66</v>
      </c>
      <c r="E5" s="22">
        <f t="shared" ref="E5:E9" si="2">ROUND($E$2*(D5/100),2)</f>
        <v>4</v>
      </c>
      <c r="F5" s="22">
        <f t="shared" ref="F5:F12" si="3">ROUND($F$2*(D5/100),2)</f>
        <v>4.12</v>
      </c>
      <c r="G5" s="22">
        <f t="shared" si="0"/>
        <v>4.259398</v>
      </c>
      <c r="H5" s="22">
        <f t="shared" si="1"/>
        <v>4.3993179999999992</v>
      </c>
    </row>
    <row r="6" spans="3:8" x14ac:dyDescent="0.25">
      <c r="C6" t="s">
        <v>43</v>
      </c>
      <c r="D6" s="30">
        <v>13.76</v>
      </c>
      <c r="E6" s="23">
        <f t="shared" si="2"/>
        <v>4.72</v>
      </c>
      <c r="F6" s="22">
        <f t="shared" si="3"/>
        <v>4.8600000000000003</v>
      </c>
      <c r="G6" s="22">
        <f t="shared" si="0"/>
        <v>5.0265279999999999</v>
      </c>
      <c r="H6" s="22">
        <f t="shared" si="1"/>
        <v>5.1916479999999998</v>
      </c>
    </row>
    <row r="7" spans="3:8" x14ac:dyDescent="0.25">
      <c r="C7" t="s">
        <v>44</v>
      </c>
      <c r="D7" s="30">
        <v>25.66</v>
      </c>
      <c r="E7" s="23">
        <f t="shared" si="2"/>
        <v>8.8000000000000007</v>
      </c>
      <c r="F7" s="22">
        <f t="shared" si="3"/>
        <v>9.06</v>
      </c>
      <c r="G7" s="22">
        <f t="shared" si="0"/>
        <v>9.3735979999999994</v>
      </c>
      <c r="H7" s="22">
        <f t="shared" si="1"/>
        <v>9.6815179999999987</v>
      </c>
    </row>
    <row r="8" spans="3:8" x14ac:dyDescent="0.25">
      <c r="C8" t="s">
        <v>45</v>
      </c>
      <c r="D8" s="30">
        <v>2.0099999999999998</v>
      </c>
      <c r="E8" s="23">
        <f t="shared" si="2"/>
        <v>0.69</v>
      </c>
      <c r="F8" s="22">
        <f t="shared" si="3"/>
        <v>0.71</v>
      </c>
      <c r="G8" s="22">
        <f t="shared" si="0"/>
        <v>0.73425299999999993</v>
      </c>
      <c r="H8" s="22">
        <f t="shared" si="1"/>
        <v>0.75837299999999985</v>
      </c>
    </row>
    <row r="9" spans="3:8" x14ac:dyDescent="0.25">
      <c r="C9" t="s">
        <v>56</v>
      </c>
      <c r="D9" s="30">
        <v>0.28999999999999998</v>
      </c>
      <c r="E9" s="23">
        <f t="shared" si="2"/>
        <v>0.1</v>
      </c>
      <c r="F9" s="22">
        <f t="shared" si="3"/>
        <v>0.1</v>
      </c>
      <c r="G9" s="22">
        <f t="shared" si="0"/>
        <v>0.10593699999999999</v>
      </c>
      <c r="H9" s="22">
        <f t="shared" si="1"/>
        <v>0.10941699999999999</v>
      </c>
    </row>
    <row r="10" spans="3:8" x14ac:dyDescent="0.25">
      <c r="C10" t="s">
        <v>50</v>
      </c>
      <c r="D10" s="21"/>
      <c r="E10" s="23">
        <f>SUM(E4:E9)</f>
        <v>19.340000000000003</v>
      </c>
      <c r="F10" s="23">
        <f>SUM(F4:F9)</f>
        <v>19.910000000000004</v>
      </c>
      <c r="G10" s="22">
        <f>SUM(G4:G9)</f>
        <v>20.595613999999998</v>
      </c>
      <c r="H10" s="22">
        <f>SUM(H4:H9)</f>
        <v>21.272174</v>
      </c>
    </row>
    <row r="11" spans="3:8" x14ac:dyDescent="0.25">
      <c r="D11" s="21"/>
      <c r="E11" s="22"/>
      <c r="F11" s="22"/>
      <c r="G11" s="22"/>
      <c r="H11" s="22"/>
    </row>
    <row r="12" spans="3:8" x14ac:dyDescent="0.25">
      <c r="C12" t="s">
        <v>11</v>
      </c>
      <c r="D12" s="30">
        <v>14.17</v>
      </c>
      <c r="E12" s="22">
        <f>ROUND($E$2*($D12/100),2)</f>
        <v>4.8600000000000003</v>
      </c>
      <c r="F12" s="22">
        <f t="shared" si="3"/>
        <v>5</v>
      </c>
      <c r="G12" s="22">
        <f>$G$2*(D12/100)</f>
        <v>5.1763009999999996</v>
      </c>
      <c r="H12" s="22">
        <f>$H$2*(D12/100)</f>
        <v>5.3463409999999989</v>
      </c>
    </row>
    <row r="13" spans="3:8" x14ac:dyDescent="0.25">
      <c r="E13" s="22">
        <f>ROUND(E10+E12,2)</f>
        <v>24.2</v>
      </c>
      <c r="F13" s="22">
        <f>ROUND(F10+F12,2)</f>
        <v>24.91</v>
      </c>
      <c r="G13" s="21">
        <f>G10+G12</f>
        <v>25.771914999999996</v>
      </c>
      <c r="H13" s="21">
        <f>H10+H12</f>
        <v>26.618514999999999</v>
      </c>
    </row>
    <row r="15" spans="3:8" x14ac:dyDescent="0.25">
      <c r="C15" t="s">
        <v>57</v>
      </c>
    </row>
  </sheetData>
  <phoneticPr fontId="5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S63"/>
  <sheetViews>
    <sheetView topLeftCell="A24" workbookViewId="0">
      <selection activeCell="J30" sqref="J30"/>
    </sheetView>
  </sheetViews>
  <sheetFormatPr defaultColWidth="9.109375" defaultRowHeight="13.8" x14ac:dyDescent="0.3"/>
  <cols>
    <col min="1" max="3" width="9.109375" style="76"/>
    <col min="4" max="4" width="31.109375" style="76" customWidth="1"/>
    <col min="5" max="5" width="2.5546875" style="76" bestFit="1" customWidth="1"/>
    <col min="6" max="11" width="8.6640625" style="76" customWidth="1"/>
    <col min="12" max="12" width="11.6640625" style="76" customWidth="1"/>
    <col min="13" max="13" width="14" style="76" customWidth="1"/>
    <col min="14" max="14" width="13.109375" style="76" customWidth="1"/>
    <col min="15" max="15" width="9.109375" style="76"/>
    <col min="16" max="16" width="15.33203125" style="76" customWidth="1"/>
    <col min="17" max="16384" width="9.109375" style="76"/>
  </cols>
  <sheetData>
    <row r="1" spans="1:19" hidden="1" x14ac:dyDescent="0.3">
      <c r="A1" s="75" t="s">
        <v>102</v>
      </c>
    </row>
    <row r="2" spans="1:19" hidden="1" x14ac:dyDescent="0.3">
      <c r="A2" s="75"/>
      <c r="B2" s="75" t="s">
        <v>103</v>
      </c>
      <c r="C2" s="77"/>
      <c r="D2" s="75"/>
      <c r="E2" s="77"/>
      <c r="F2" s="77"/>
      <c r="G2" s="78"/>
      <c r="H2" s="78"/>
    </row>
    <row r="3" spans="1:19" hidden="1" x14ac:dyDescent="0.3">
      <c r="A3" s="75"/>
      <c r="B3" s="75"/>
      <c r="C3" s="77"/>
      <c r="D3" s="75"/>
      <c r="E3" s="77"/>
      <c r="F3" s="77"/>
      <c r="G3" s="78"/>
      <c r="H3" s="78"/>
      <c r="I3" s="79" t="s">
        <v>0</v>
      </c>
      <c r="J3" s="79"/>
      <c r="K3" s="79"/>
      <c r="M3" s="80" t="s">
        <v>61</v>
      </c>
      <c r="N3" s="80"/>
      <c r="O3" s="80"/>
    </row>
    <row r="4" spans="1:19" hidden="1" x14ac:dyDescent="0.3">
      <c r="A4" s="75"/>
      <c r="B4" s="77"/>
      <c r="C4" s="77"/>
      <c r="D4" s="75"/>
      <c r="E4" s="77"/>
      <c r="F4" s="77"/>
      <c r="G4" s="78"/>
      <c r="H4" s="78"/>
      <c r="I4" s="79" t="s">
        <v>1</v>
      </c>
      <c r="J4" s="79"/>
      <c r="K4" s="79"/>
      <c r="M4" s="81" t="s">
        <v>62</v>
      </c>
      <c r="N4" s="81" t="s">
        <v>42</v>
      </c>
      <c r="O4" s="81" t="s">
        <v>41</v>
      </c>
      <c r="P4" s="81" t="s">
        <v>63</v>
      </c>
      <c r="Q4" s="81" t="s">
        <v>56</v>
      </c>
      <c r="R4" s="81" t="s">
        <v>45</v>
      </c>
    </row>
    <row r="5" spans="1:19" hidden="1" x14ac:dyDescent="0.3">
      <c r="A5" s="75"/>
      <c r="B5" s="77"/>
      <c r="C5" s="77"/>
      <c r="D5" s="75"/>
      <c r="E5" s="77"/>
      <c r="F5" s="77"/>
      <c r="G5" s="82" t="s">
        <v>2</v>
      </c>
      <c r="H5" s="82" t="s">
        <v>3</v>
      </c>
      <c r="I5" s="79" t="s">
        <v>4</v>
      </c>
      <c r="J5" s="79" t="s">
        <v>58</v>
      </c>
      <c r="K5" s="79" t="s">
        <v>59</v>
      </c>
      <c r="M5" s="76">
        <v>0.28129999999999999</v>
      </c>
      <c r="N5" s="76">
        <v>9.1800000000000007E-2</v>
      </c>
      <c r="O5" s="76">
        <v>0.03</v>
      </c>
      <c r="P5" s="76">
        <v>0.1376</v>
      </c>
      <c r="Q5" s="76">
        <v>2.8999999999999998E-3</v>
      </c>
      <c r="R5" s="76">
        <v>2.01E-2</v>
      </c>
    </row>
    <row r="6" spans="1:19" hidden="1" x14ac:dyDescent="0.3">
      <c r="A6" s="75" t="s">
        <v>5</v>
      </c>
      <c r="B6" s="77" t="s">
        <v>6</v>
      </c>
      <c r="C6" s="77" t="s">
        <v>7</v>
      </c>
      <c r="D6" s="75" t="s">
        <v>8</v>
      </c>
      <c r="E6" s="77" t="s">
        <v>9</v>
      </c>
      <c r="F6" s="77"/>
      <c r="G6" s="82" t="s">
        <v>10</v>
      </c>
      <c r="H6" s="82" t="s">
        <v>11</v>
      </c>
      <c r="I6" s="79" t="s">
        <v>12</v>
      </c>
      <c r="J6" s="79"/>
      <c r="K6" s="79"/>
    </row>
    <row r="7" spans="1:19" hidden="1" x14ac:dyDescent="0.3">
      <c r="A7" s="83"/>
      <c r="B7" s="77"/>
      <c r="C7" s="84"/>
      <c r="D7" s="85"/>
      <c r="E7" s="77"/>
      <c r="F7" s="77"/>
      <c r="G7" s="84"/>
      <c r="H7" s="84"/>
      <c r="I7" s="84"/>
      <c r="J7" s="84" t="s">
        <v>13</v>
      </c>
      <c r="K7" s="84" t="s">
        <v>13</v>
      </c>
    </row>
    <row r="8" spans="1:19" hidden="1" x14ac:dyDescent="0.3">
      <c r="A8" s="75" t="s">
        <v>14</v>
      </c>
      <c r="B8" s="77">
        <v>2</v>
      </c>
      <c r="C8" s="77" t="s">
        <v>15</v>
      </c>
      <c r="D8" s="75" t="s">
        <v>16</v>
      </c>
      <c r="E8" s="77" t="s">
        <v>17</v>
      </c>
      <c r="F8" s="77"/>
      <c r="G8" s="78">
        <v>34.299999999999997</v>
      </c>
      <c r="H8" s="78">
        <v>4.8600000000000003</v>
      </c>
      <c r="I8" s="78">
        <v>19.340000000000003</v>
      </c>
      <c r="J8" s="78">
        <v>24.200000000000003</v>
      </c>
      <c r="K8" s="78">
        <v>58.5</v>
      </c>
      <c r="L8" s="86"/>
      <c r="M8" s="87">
        <f>M5*$G$30</f>
        <v>10.981952</v>
      </c>
      <c r="N8" s="87">
        <f t="shared" ref="N8:R8" si="0">N5*$G$30</f>
        <v>3.5838720000000004</v>
      </c>
      <c r="O8" s="87">
        <f t="shared" si="0"/>
        <v>1.1712</v>
      </c>
      <c r="P8" s="87">
        <f t="shared" si="0"/>
        <v>5.3719039999999998</v>
      </c>
      <c r="Q8" s="87">
        <f t="shared" si="0"/>
        <v>0.11321599999999998</v>
      </c>
      <c r="R8" s="87">
        <f t="shared" si="0"/>
        <v>0.78470399999999996</v>
      </c>
      <c r="S8" s="87"/>
    </row>
    <row r="9" spans="1:19" hidden="1" x14ac:dyDescent="0.3">
      <c r="A9" s="75" t="s">
        <v>14</v>
      </c>
      <c r="B9" s="77">
        <v>2</v>
      </c>
      <c r="C9" s="77" t="s">
        <v>18</v>
      </c>
      <c r="D9" s="75" t="s">
        <v>19</v>
      </c>
      <c r="E9" s="77" t="s">
        <v>17</v>
      </c>
      <c r="F9" s="77"/>
      <c r="G9" s="78">
        <v>36.53</v>
      </c>
      <c r="H9" s="78">
        <v>5.1763009999999996</v>
      </c>
      <c r="I9" s="78">
        <v>20.595613999999998</v>
      </c>
      <c r="J9" s="78">
        <v>25.771914999999996</v>
      </c>
      <c r="K9" s="78">
        <v>62.301914999999994</v>
      </c>
      <c r="M9" s="87">
        <f>M5*$G$31</f>
        <v>11.696453999999999</v>
      </c>
      <c r="N9" s="87">
        <f t="shared" ref="N9:R9" si="1">N5*$G$31</f>
        <v>3.8170440000000001</v>
      </c>
      <c r="O9" s="87">
        <f t="shared" si="1"/>
        <v>1.2473999999999998</v>
      </c>
      <c r="P9" s="87">
        <f t="shared" si="1"/>
        <v>5.7214079999999994</v>
      </c>
      <c r="Q9" s="87">
        <f t="shared" si="1"/>
        <v>0.12058199999999998</v>
      </c>
      <c r="R9" s="87">
        <f t="shared" si="1"/>
        <v>0.835758</v>
      </c>
      <c r="S9" s="87"/>
    </row>
    <row r="10" spans="1:19" hidden="1" x14ac:dyDescent="0.3">
      <c r="A10" s="75" t="s">
        <v>14</v>
      </c>
      <c r="B10" s="77">
        <v>2</v>
      </c>
      <c r="C10" s="77" t="s">
        <v>20</v>
      </c>
      <c r="D10" s="75" t="s">
        <v>21</v>
      </c>
      <c r="E10" s="77" t="s">
        <v>17</v>
      </c>
      <c r="F10" s="77"/>
      <c r="G10" s="78">
        <v>37.729999999999997</v>
      </c>
      <c r="H10" s="78">
        <v>5.3463409999999989</v>
      </c>
      <c r="I10" s="78">
        <v>21.272174</v>
      </c>
      <c r="J10" s="78">
        <v>26.618514999999999</v>
      </c>
      <c r="K10" s="78">
        <v>64.348514999999992</v>
      </c>
      <c r="M10" s="87">
        <f>M5*$G$32</f>
        <v>12.079021999999998</v>
      </c>
      <c r="N10" s="87">
        <f t="shared" ref="N10:R10" si="2">N5*$G$32</f>
        <v>3.9418920000000002</v>
      </c>
      <c r="O10" s="87">
        <f t="shared" si="2"/>
        <v>1.2881999999999998</v>
      </c>
      <c r="P10" s="87">
        <f t="shared" si="2"/>
        <v>5.908544</v>
      </c>
      <c r="Q10" s="87">
        <f t="shared" si="2"/>
        <v>0.12452599999999998</v>
      </c>
      <c r="R10" s="87">
        <f t="shared" si="2"/>
        <v>0.86309399999999992</v>
      </c>
      <c r="S10" s="87"/>
    </row>
    <row r="11" spans="1:19" hidden="1" x14ac:dyDescent="0.3">
      <c r="A11" s="75" t="s">
        <v>14</v>
      </c>
      <c r="B11" s="77">
        <v>2</v>
      </c>
      <c r="C11" s="77"/>
      <c r="D11" s="75" t="s">
        <v>101</v>
      </c>
      <c r="E11" s="77" t="s">
        <v>17</v>
      </c>
      <c r="F11" s="77"/>
      <c r="G11" s="78">
        <v>35.299999999999997</v>
      </c>
      <c r="H11" s="78">
        <v>5</v>
      </c>
      <c r="I11" s="78">
        <v>19.910000000000004</v>
      </c>
      <c r="J11" s="78"/>
      <c r="K11" s="78"/>
      <c r="M11" s="87">
        <f>M5*$G$33</f>
        <v>11.263252</v>
      </c>
      <c r="N11" s="87">
        <f t="shared" ref="N11:R11" si="3">N5*$G$33</f>
        <v>3.6756720000000001</v>
      </c>
      <c r="O11" s="87">
        <f t="shared" si="3"/>
        <v>1.2011999999999998</v>
      </c>
      <c r="P11" s="87">
        <f t="shared" si="3"/>
        <v>5.5095039999999997</v>
      </c>
      <c r="Q11" s="87">
        <f t="shared" si="3"/>
        <v>0.11611599999999998</v>
      </c>
      <c r="R11" s="87">
        <f t="shared" si="3"/>
        <v>0.80480399999999996</v>
      </c>
      <c r="S11" s="87"/>
    </row>
    <row r="12" spans="1:19" hidden="1" x14ac:dyDescent="0.3">
      <c r="A12" s="75"/>
      <c r="B12" s="77"/>
      <c r="C12" s="77"/>
      <c r="D12" s="75"/>
      <c r="E12" s="77"/>
      <c r="F12" s="77"/>
      <c r="G12" s="78"/>
      <c r="H12" s="78"/>
      <c r="I12" s="78"/>
      <c r="J12" s="78"/>
      <c r="K12" s="78"/>
      <c r="M12" s="87"/>
      <c r="N12" s="87"/>
      <c r="O12" s="87"/>
      <c r="P12" s="87"/>
      <c r="Q12" s="87"/>
      <c r="R12" s="87"/>
      <c r="S12" s="87"/>
    </row>
    <row r="13" spans="1:19" hidden="1" x14ac:dyDescent="0.3">
      <c r="A13" s="75"/>
      <c r="B13" s="77"/>
      <c r="C13" s="77"/>
      <c r="D13" s="75"/>
      <c r="E13" s="77"/>
      <c r="F13" s="77"/>
      <c r="G13" s="77"/>
      <c r="H13" s="77"/>
      <c r="I13" s="78"/>
      <c r="J13" s="78"/>
      <c r="K13" s="78"/>
    </row>
    <row r="14" spans="1:19" hidden="1" x14ac:dyDescent="0.3">
      <c r="A14" s="88"/>
      <c r="B14" s="75" t="s">
        <v>22</v>
      </c>
      <c r="C14" s="77"/>
      <c r="D14" s="75"/>
      <c r="E14" s="77"/>
      <c r="F14" s="77"/>
      <c r="G14" s="78"/>
      <c r="H14" s="78"/>
      <c r="I14" s="78"/>
      <c r="J14" s="78"/>
      <c r="K14" s="78"/>
    </row>
    <row r="15" spans="1:19" hidden="1" x14ac:dyDescent="0.3">
      <c r="A15" s="75" t="s">
        <v>14</v>
      </c>
      <c r="B15" s="77">
        <v>2</v>
      </c>
      <c r="C15" s="77" t="s">
        <v>15</v>
      </c>
      <c r="D15" s="75" t="s">
        <v>16</v>
      </c>
      <c r="E15" s="77" t="s">
        <v>17</v>
      </c>
      <c r="F15" s="77"/>
      <c r="G15" s="78">
        <v>51.449999999999996</v>
      </c>
      <c r="H15" s="78">
        <v>7.2900000000000009</v>
      </c>
      <c r="I15" s="78">
        <v>29.010000000000005</v>
      </c>
      <c r="J15" s="78">
        <v>36.300000000000004</v>
      </c>
      <c r="K15" s="78">
        <v>87.75</v>
      </c>
      <c r="M15" s="87">
        <f>M8*1.5</f>
        <v>16.472928</v>
      </c>
      <c r="N15" s="87">
        <f t="shared" ref="N15:R15" si="4">N8*1.5</f>
        <v>5.375808000000001</v>
      </c>
      <c r="O15" s="87">
        <f t="shared" si="4"/>
        <v>1.7568000000000001</v>
      </c>
      <c r="P15" s="87">
        <f t="shared" si="4"/>
        <v>8.0578559999999992</v>
      </c>
      <c r="Q15" s="87">
        <f t="shared" si="4"/>
        <v>0.16982399999999997</v>
      </c>
      <c r="R15" s="87">
        <f t="shared" si="4"/>
        <v>1.1770559999999999</v>
      </c>
      <c r="S15" s="87"/>
    </row>
    <row r="16" spans="1:19" hidden="1" x14ac:dyDescent="0.3">
      <c r="A16" s="75" t="s">
        <v>14</v>
      </c>
      <c r="B16" s="77">
        <v>2</v>
      </c>
      <c r="C16" s="77" t="s">
        <v>18</v>
      </c>
      <c r="D16" s="75" t="s">
        <v>23</v>
      </c>
      <c r="E16" s="77" t="s">
        <v>17</v>
      </c>
      <c r="F16" s="77"/>
      <c r="G16" s="78">
        <v>54.795000000000002</v>
      </c>
      <c r="H16" s="78">
        <v>7.7644514999999998</v>
      </c>
      <c r="I16" s="78">
        <v>30.893420999999996</v>
      </c>
      <c r="J16" s="78">
        <v>38.657872499999996</v>
      </c>
      <c r="K16" s="78">
        <v>93.452872499999998</v>
      </c>
      <c r="M16" s="87">
        <f t="shared" ref="M16:R18" si="5">M9*1.5</f>
        <v>17.544680999999997</v>
      </c>
      <c r="N16" s="87">
        <f t="shared" si="5"/>
        <v>5.7255660000000006</v>
      </c>
      <c r="O16" s="87">
        <f t="shared" si="5"/>
        <v>1.8710999999999998</v>
      </c>
      <c r="P16" s="87">
        <f t="shared" si="5"/>
        <v>8.5821119999999986</v>
      </c>
      <c r="Q16" s="87">
        <f t="shared" si="5"/>
        <v>0.18087299999999998</v>
      </c>
      <c r="R16" s="87">
        <f t="shared" si="5"/>
        <v>1.2536369999999999</v>
      </c>
      <c r="S16" s="87"/>
    </row>
    <row r="17" spans="1:19" hidden="1" x14ac:dyDescent="0.3">
      <c r="A17" s="75" t="s">
        <v>14</v>
      </c>
      <c r="B17" s="77">
        <v>2</v>
      </c>
      <c r="C17" s="77" t="s">
        <v>20</v>
      </c>
      <c r="D17" s="75" t="s">
        <v>21</v>
      </c>
      <c r="E17" s="77" t="s">
        <v>17</v>
      </c>
      <c r="F17" s="77"/>
      <c r="G17" s="78">
        <v>56.594999999999999</v>
      </c>
      <c r="H17" s="78">
        <v>8.0195114999999983</v>
      </c>
      <c r="I17" s="78">
        <v>31.908261</v>
      </c>
      <c r="J17" s="78">
        <v>39.927772499999996</v>
      </c>
      <c r="K17" s="78">
        <v>96.522772500000002</v>
      </c>
      <c r="M17" s="87">
        <f t="shared" si="5"/>
        <v>18.118532999999999</v>
      </c>
      <c r="N17" s="87">
        <f t="shared" si="5"/>
        <v>5.9128380000000007</v>
      </c>
      <c r="O17" s="87">
        <f t="shared" si="5"/>
        <v>1.9322999999999997</v>
      </c>
      <c r="P17" s="87">
        <f t="shared" si="5"/>
        <v>8.8628160000000005</v>
      </c>
      <c r="Q17" s="87">
        <f t="shared" si="5"/>
        <v>0.18678899999999998</v>
      </c>
      <c r="R17" s="87">
        <f t="shared" si="5"/>
        <v>1.2946409999999999</v>
      </c>
      <c r="S17" s="87"/>
    </row>
    <row r="18" spans="1:19" hidden="1" x14ac:dyDescent="0.3">
      <c r="A18" s="75" t="s">
        <v>14</v>
      </c>
      <c r="B18" s="77">
        <v>2</v>
      </c>
      <c r="C18" s="77"/>
      <c r="D18" s="75" t="s">
        <v>101</v>
      </c>
      <c r="E18" s="77" t="s">
        <v>17</v>
      </c>
      <c r="F18" s="77"/>
      <c r="G18" s="78">
        <v>52.949999999999996</v>
      </c>
      <c r="H18" s="78">
        <v>7.5</v>
      </c>
      <c r="I18" s="78">
        <v>29.865000000000006</v>
      </c>
      <c r="J18" s="78"/>
      <c r="K18" s="78"/>
      <c r="M18" s="87">
        <f t="shared" si="5"/>
        <v>16.894877999999999</v>
      </c>
      <c r="N18" s="87">
        <f t="shared" si="5"/>
        <v>5.5135079999999999</v>
      </c>
      <c r="O18" s="87">
        <f t="shared" si="5"/>
        <v>1.8017999999999996</v>
      </c>
      <c r="P18" s="87">
        <f t="shared" si="5"/>
        <v>8.2642559999999996</v>
      </c>
      <c r="Q18" s="87">
        <f t="shared" si="5"/>
        <v>0.17417399999999997</v>
      </c>
      <c r="R18" s="87">
        <f t="shared" si="5"/>
        <v>1.207206</v>
      </c>
      <c r="S18" s="87"/>
    </row>
    <row r="19" spans="1:19" hidden="1" x14ac:dyDescent="0.3">
      <c r="A19" s="75"/>
      <c r="B19" s="77"/>
      <c r="C19" s="77"/>
      <c r="D19" s="75"/>
      <c r="E19" s="77"/>
      <c r="F19" s="77"/>
      <c r="G19" s="78"/>
      <c r="H19" s="78"/>
      <c r="I19" s="78"/>
      <c r="J19" s="78"/>
      <c r="K19" s="78"/>
    </row>
    <row r="20" spans="1:19" hidden="1" x14ac:dyDescent="0.3">
      <c r="A20" s="75"/>
      <c r="B20" s="77"/>
      <c r="C20" s="77"/>
      <c r="D20" s="75"/>
      <c r="E20" s="77"/>
      <c r="F20" s="77"/>
      <c r="G20" s="78"/>
      <c r="H20" s="78"/>
      <c r="I20" s="78"/>
      <c r="J20" s="78"/>
      <c r="K20" s="78"/>
      <c r="M20" s="87"/>
      <c r="N20" s="87"/>
      <c r="O20" s="87"/>
      <c r="P20" s="87"/>
      <c r="Q20" s="87"/>
      <c r="R20" s="87"/>
      <c r="S20" s="87"/>
    </row>
    <row r="21" spans="1:19" hidden="1" x14ac:dyDescent="0.3">
      <c r="A21" s="88"/>
      <c r="B21" s="75"/>
      <c r="C21" s="77"/>
      <c r="D21" s="75"/>
      <c r="E21" s="77"/>
      <c r="F21" s="77"/>
      <c r="G21" s="78"/>
      <c r="H21" s="78"/>
      <c r="I21" s="78"/>
      <c r="J21" s="78"/>
      <c r="K21" s="78"/>
    </row>
    <row r="22" spans="1:19" hidden="1" x14ac:dyDescent="0.3"/>
    <row r="23" spans="1:19" hidden="1" x14ac:dyDescent="0.3"/>
    <row r="24" spans="1:19" x14ac:dyDescent="0.3">
      <c r="M24" s="80" t="s">
        <v>61</v>
      </c>
    </row>
    <row r="25" spans="1:19" ht="15.6" x14ac:dyDescent="0.3">
      <c r="A25" s="112" t="s">
        <v>131</v>
      </c>
      <c r="B25" s="92"/>
      <c r="C25" s="92"/>
      <c r="D25" s="91"/>
      <c r="E25" s="92"/>
      <c r="F25" s="92"/>
      <c r="G25" s="98"/>
      <c r="H25" s="98"/>
      <c r="I25" s="98"/>
      <c r="J25" s="98"/>
      <c r="K25" s="98"/>
      <c r="N25" s="80"/>
      <c r="O25" s="80"/>
    </row>
    <row r="26" spans="1:19" x14ac:dyDescent="0.3">
      <c r="A26" s="91"/>
      <c r="B26" s="92"/>
      <c r="C26" s="92"/>
      <c r="D26" s="91"/>
      <c r="E26" s="92"/>
      <c r="F26" s="92"/>
      <c r="G26" s="98"/>
      <c r="H26" s="98"/>
      <c r="I26" s="98"/>
      <c r="J26" s="98"/>
      <c r="K26" s="98"/>
      <c r="M26" s="81" t="s">
        <v>62</v>
      </c>
      <c r="N26" s="81" t="s">
        <v>42</v>
      </c>
      <c r="O26" s="81" t="s">
        <v>41</v>
      </c>
      <c r="P26" s="81" t="s">
        <v>63</v>
      </c>
      <c r="Q26" s="81" t="s">
        <v>56</v>
      </c>
      <c r="R26" s="81" t="s">
        <v>45</v>
      </c>
    </row>
    <row r="27" spans="1:19" ht="41.4" x14ac:dyDescent="0.3">
      <c r="A27" s="91"/>
      <c r="B27" s="92"/>
      <c r="C27" s="92"/>
      <c r="D27" s="91"/>
      <c r="E27" s="92"/>
      <c r="F27" s="99" t="s">
        <v>115</v>
      </c>
      <c r="G27" s="92" t="s">
        <v>2</v>
      </c>
      <c r="H27" s="92" t="s">
        <v>3</v>
      </c>
      <c r="I27" s="99" t="s">
        <v>136</v>
      </c>
      <c r="J27" s="98" t="s">
        <v>135</v>
      </c>
      <c r="K27" s="98" t="s">
        <v>135</v>
      </c>
      <c r="M27" s="89">
        <f>'2016 calcs'!D7/100</f>
        <v>0.24329999999999999</v>
      </c>
      <c r="N27" s="89">
        <f>'2016 calcs'!D5/100</f>
        <v>0.1399</v>
      </c>
      <c r="O27" s="76">
        <f>'2016 calcs'!D4/100</f>
        <v>0.03</v>
      </c>
      <c r="P27" s="76">
        <f>'2016 calcs'!D6/100</f>
        <v>0.13189999999999999</v>
      </c>
      <c r="Q27" s="76">
        <f>'2016 calcs'!D9/100</f>
        <v>2.3E-3</v>
      </c>
      <c r="R27" s="76">
        <f>'2016 calcs'!D8/100</f>
        <v>2.41E-2</v>
      </c>
    </row>
    <row r="28" spans="1:19" x14ac:dyDescent="0.3">
      <c r="A28" s="91" t="s">
        <v>5</v>
      </c>
      <c r="B28" s="92" t="s">
        <v>6</v>
      </c>
      <c r="C28" s="92" t="s">
        <v>7</v>
      </c>
      <c r="D28" s="91" t="s">
        <v>125</v>
      </c>
      <c r="E28" s="92" t="s">
        <v>9</v>
      </c>
      <c r="F28" s="92" t="s">
        <v>114</v>
      </c>
      <c r="G28" s="92" t="s">
        <v>10</v>
      </c>
      <c r="H28" s="92" t="s">
        <v>11</v>
      </c>
      <c r="I28" s="98" t="s">
        <v>12</v>
      </c>
      <c r="J28" s="98" t="s">
        <v>4</v>
      </c>
      <c r="K28" s="98" t="s">
        <v>134</v>
      </c>
    </row>
    <row r="29" spans="1:19" ht="4.95" customHeight="1" x14ac:dyDescent="0.3">
      <c r="A29" s="100"/>
      <c r="B29" s="95"/>
      <c r="C29" s="103"/>
      <c r="D29" s="100"/>
      <c r="E29" s="95"/>
      <c r="F29" s="95"/>
      <c r="G29" s="103"/>
      <c r="H29" s="103"/>
      <c r="I29" s="103"/>
      <c r="J29" s="103" t="s">
        <v>13</v>
      </c>
      <c r="K29" s="103" t="s">
        <v>13</v>
      </c>
    </row>
    <row r="30" spans="1:19" x14ac:dyDescent="0.3">
      <c r="A30" s="94" t="s">
        <v>14</v>
      </c>
      <c r="B30" s="95">
        <v>2</v>
      </c>
      <c r="C30" s="95" t="s">
        <v>15</v>
      </c>
      <c r="D30" s="94" t="s">
        <v>16</v>
      </c>
      <c r="E30" s="95" t="s">
        <v>17</v>
      </c>
      <c r="F30" s="102">
        <f>G30+H30</f>
        <v>44.29</v>
      </c>
      <c r="G30" s="102">
        <f>'2016 calcs'!E2</f>
        <v>39.04</v>
      </c>
      <c r="H30" s="102">
        <f>'2016 calcs'!E12</f>
        <v>5.25</v>
      </c>
      <c r="I30" s="102">
        <f>'2016 calcs'!E10</f>
        <v>22.310000000000002</v>
      </c>
      <c r="J30" s="102">
        <f>I30+H30</f>
        <v>27.560000000000002</v>
      </c>
      <c r="K30" s="102">
        <f>J30+G30</f>
        <v>66.599999999999994</v>
      </c>
      <c r="L30" s="86"/>
      <c r="M30" s="87">
        <f>M27*$G$30</f>
        <v>9.4984319999999993</v>
      </c>
      <c r="N30" s="87">
        <f t="shared" ref="N30:R30" si="6">N27*$G$30</f>
        <v>5.4616959999999999</v>
      </c>
      <c r="O30" s="87">
        <f t="shared" si="6"/>
        <v>1.1712</v>
      </c>
      <c r="P30" s="87">
        <f t="shared" si="6"/>
        <v>5.1493759999999993</v>
      </c>
      <c r="Q30" s="87">
        <f t="shared" si="6"/>
        <v>8.9791999999999997E-2</v>
      </c>
      <c r="R30" s="87">
        <f t="shared" si="6"/>
        <v>0.94086399999999992</v>
      </c>
      <c r="S30" s="87"/>
    </row>
    <row r="31" spans="1:19" x14ac:dyDescent="0.3">
      <c r="A31" s="94" t="s">
        <v>14</v>
      </c>
      <c r="B31" s="95">
        <v>2</v>
      </c>
      <c r="C31" s="95" t="s">
        <v>18</v>
      </c>
      <c r="D31" s="94" t="s">
        <v>19</v>
      </c>
      <c r="E31" s="95" t="s">
        <v>17</v>
      </c>
      <c r="F31" s="102">
        <f t="shared" ref="F31:F33" si="7">G31+H31</f>
        <v>47.172509999999996</v>
      </c>
      <c r="G31" s="102">
        <f>'2016 calcs'!G2</f>
        <v>41.58</v>
      </c>
      <c r="H31" s="102">
        <f>'2016 calcs'!G12</f>
        <v>5.592509999999999</v>
      </c>
      <c r="I31" s="102">
        <f>'2016 calcs'!G10</f>
        <v>23.762969999999999</v>
      </c>
      <c r="J31" s="102">
        <f>I31+H31</f>
        <v>29.35548</v>
      </c>
      <c r="K31" s="102">
        <f>J31+G31</f>
        <v>70.935479999999998</v>
      </c>
      <c r="M31" s="87">
        <f>M27*$G$31</f>
        <v>10.116413999999999</v>
      </c>
      <c r="N31" s="87">
        <f t="shared" ref="N31:R31" si="8">N27*$G$31</f>
        <v>5.8170419999999998</v>
      </c>
      <c r="O31" s="87">
        <f t="shared" si="8"/>
        <v>1.2473999999999998</v>
      </c>
      <c r="P31" s="87">
        <f t="shared" si="8"/>
        <v>5.4844019999999993</v>
      </c>
      <c r="Q31" s="87">
        <f t="shared" si="8"/>
        <v>9.5633999999999997E-2</v>
      </c>
      <c r="R31" s="87">
        <f t="shared" si="8"/>
        <v>1.002078</v>
      </c>
      <c r="S31" s="87"/>
    </row>
    <row r="32" spans="1:19" x14ac:dyDescent="0.3">
      <c r="A32" s="94" t="s">
        <v>14</v>
      </c>
      <c r="B32" s="95">
        <v>2</v>
      </c>
      <c r="C32" s="95" t="s">
        <v>20</v>
      </c>
      <c r="D32" s="94" t="s">
        <v>21</v>
      </c>
      <c r="E32" s="95" t="s">
        <v>17</v>
      </c>
      <c r="F32" s="102">
        <f t="shared" si="7"/>
        <v>48.715429999999998</v>
      </c>
      <c r="G32" s="102">
        <f>'2016 calcs'!H2</f>
        <v>42.94</v>
      </c>
      <c r="H32" s="102">
        <f>'2016 calcs'!H12</f>
        <v>5.7754299999999992</v>
      </c>
      <c r="I32" s="102">
        <f>'2016 calcs'!H10</f>
        <v>24.540209999999998</v>
      </c>
      <c r="J32" s="102">
        <f>I32+H32</f>
        <v>30.315639999999998</v>
      </c>
      <c r="K32" s="102">
        <f>J32+G32</f>
        <v>73.25564</v>
      </c>
      <c r="M32" s="87">
        <f>M27*$G$32</f>
        <v>10.447301999999999</v>
      </c>
      <c r="N32" s="87">
        <f t="shared" ref="N32:R32" si="9">N27*$G$32</f>
        <v>6.0073059999999998</v>
      </c>
      <c r="O32" s="87">
        <f t="shared" si="9"/>
        <v>1.2881999999999998</v>
      </c>
      <c r="P32" s="87">
        <f t="shared" si="9"/>
        <v>5.6637859999999991</v>
      </c>
      <c r="Q32" s="87">
        <f t="shared" si="9"/>
        <v>9.8761999999999989E-2</v>
      </c>
      <c r="R32" s="87">
        <f t="shared" si="9"/>
        <v>1.0348539999999999</v>
      </c>
      <c r="S32" s="87"/>
    </row>
    <row r="33" spans="1:19" x14ac:dyDescent="0.3">
      <c r="A33" s="94" t="s">
        <v>14</v>
      </c>
      <c r="B33" s="95">
        <v>2</v>
      </c>
      <c r="C33" s="95" t="s">
        <v>104</v>
      </c>
      <c r="D33" s="94" t="s">
        <v>101</v>
      </c>
      <c r="E33" s="95" t="s">
        <v>17</v>
      </c>
      <c r="F33" s="102">
        <f t="shared" si="7"/>
        <v>45.43</v>
      </c>
      <c r="G33" s="102">
        <f>'2016 calcs'!F2</f>
        <v>40.04</v>
      </c>
      <c r="H33" s="102">
        <f>'2016 calcs'!F12</f>
        <v>5.39</v>
      </c>
      <c r="I33" s="102">
        <f>'2016 calcs'!F10</f>
        <v>22.87</v>
      </c>
      <c r="J33" s="102">
        <f>I33+H33</f>
        <v>28.26</v>
      </c>
      <c r="K33" s="102">
        <f>J33+G33</f>
        <v>68.3</v>
      </c>
      <c r="M33" s="87">
        <f>M27*$G$33</f>
        <v>9.7417319999999989</v>
      </c>
      <c r="N33" s="87">
        <f t="shared" ref="N33:R33" si="10">N27*$G$33</f>
        <v>5.6015959999999998</v>
      </c>
      <c r="O33" s="87">
        <f t="shared" si="10"/>
        <v>1.2011999999999998</v>
      </c>
      <c r="P33" s="87">
        <f t="shared" si="10"/>
        <v>5.2812759999999992</v>
      </c>
      <c r="Q33" s="87">
        <f t="shared" si="10"/>
        <v>9.2091999999999993E-2</v>
      </c>
      <c r="R33" s="87">
        <f t="shared" si="10"/>
        <v>0.96496399999999993</v>
      </c>
      <c r="S33" s="87"/>
    </row>
    <row r="34" spans="1:19" ht="4.95" customHeight="1" x14ac:dyDescent="0.3">
      <c r="A34" s="94"/>
      <c r="B34" s="95"/>
      <c r="C34" s="95"/>
      <c r="D34" s="94"/>
      <c r="E34" s="95"/>
      <c r="F34" s="95"/>
      <c r="G34" s="102"/>
      <c r="H34" s="102"/>
      <c r="I34" s="102"/>
      <c r="J34" s="102"/>
      <c r="K34" s="102"/>
      <c r="M34" s="87"/>
      <c r="N34" s="87"/>
      <c r="O34" s="87"/>
      <c r="P34" s="87"/>
      <c r="Q34" s="87"/>
      <c r="R34" s="87"/>
      <c r="S34" s="87"/>
    </row>
    <row r="35" spans="1:19" ht="6.6" customHeight="1" x14ac:dyDescent="0.3">
      <c r="A35" s="94"/>
      <c r="B35" s="95"/>
      <c r="C35" s="95"/>
      <c r="D35" s="94"/>
      <c r="E35" s="95"/>
      <c r="F35" s="95"/>
      <c r="G35" s="95"/>
      <c r="H35" s="95"/>
      <c r="I35" s="102"/>
      <c r="J35" s="102"/>
      <c r="K35" s="102"/>
    </row>
    <row r="36" spans="1:19" x14ac:dyDescent="0.3">
      <c r="A36" s="101"/>
      <c r="B36" s="91" t="s">
        <v>22</v>
      </c>
      <c r="C36" s="92"/>
      <c r="D36" s="94"/>
      <c r="E36" s="95"/>
      <c r="F36" s="95"/>
      <c r="G36" s="102"/>
      <c r="H36" s="102"/>
      <c r="I36" s="102"/>
      <c r="J36" s="102"/>
      <c r="K36" s="102"/>
      <c r="M36" s="76" t="s">
        <v>109</v>
      </c>
    </row>
    <row r="37" spans="1:19" x14ac:dyDescent="0.3">
      <c r="A37" s="94" t="s">
        <v>14</v>
      </c>
      <c r="B37" s="95">
        <v>2</v>
      </c>
      <c r="C37" s="95" t="s">
        <v>15</v>
      </c>
      <c r="D37" s="94" t="s">
        <v>16</v>
      </c>
      <c r="E37" s="95" t="s">
        <v>17</v>
      </c>
      <c r="F37" s="102">
        <f t="shared" ref="F37" si="11">F30*1.5</f>
        <v>66.435000000000002</v>
      </c>
      <c r="G37" s="102">
        <f t="shared" ref="G37:H40" si="12">G30*1.5</f>
        <v>58.56</v>
      </c>
      <c r="H37" s="102">
        <f t="shared" si="12"/>
        <v>7.875</v>
      </c>
      <c r="I37" s="102">
        <f>(N37+O37+P37+Q37+R37+M37)</f>
        <v>28.717824</v>
      </c>
      <c r="J37" s="102">
        <f>I37+H37</f>
        <v>36.592824</v>
      </c>
      <c r="K37" s="102">
        <f>J37+G37</f>
        <v>95.15282400000001</v>
      </c>
      <c r="M37" s="87">
        <f>M30</f>
        <v>9.4984319999999993</v>
      </c>
      <c r="N37" s="87">
        <f t="shared" ref="N37:R37" si="13">N30*1.5</f>
        <v>8.1925439999999998</v>
      </c>
      <c r="O37" s="87">
        <f t="shared" si="13"/>
        <v>1.7568000000000001</v>
      </c>
      <c r="P37" s="87">
        <f t="shared" si="13"/>
        <v>7.7240639999999985</v>
      </c>
      <c r="Q37" s="87">
        <f t="shared" si="13"/>
        <v>0.134688</v>
      </c>
      <c r="R37" s="87">
        <f t="shared" si="13"/>
        <v>1.4112959999999999</v>
      </c>
      <c r="S37" s="87"/>
    </row>
    <row r="38" spans="1:19" x14ac:dyDescent="0.3">
      <c r="A38" s="94" t="s">
        <v>14</v>
      </c>
      <c r="B38" s="95">
        <v>2</v>
      </c>
      <c r="C38" s="95" t="s">
        <v>18</v>
      </c>
      <c r="D38" s="94" t="s">
        <v>23</v>
      </c>
      <c r="E38" s="95" t="s">
        <v>17</v>
      </c>
      <c r="F38" s="102">
        <f t="shared" ref="F38" si="14">F31*1.5</f>
        <v>70.758764999999997</v>
      </c>
      <c r="G38" s="102">
        <f t="shared" si="12"/>
        <v>62.37</v>
      </c>
      <c r="H38" s="102">
        <f t="shared" si="12"/>
        <v>8.3887649999999994</v>
      </c>
      <c r="I38" s="102">
        <f t="shared" ref="I38:I40" si="15">(N38+O38+P38+Q38+R38+M38)</f>
        <v>30.586247999999994</v>
      </c>
      <c r="J38" s="102">
        <f>I38+H38</f>
        <v>38.97501299999999</v>
      </c>
      <c r="K38" s="102">
        <f>J38+G38</f>
        <v>101.34501299999999</v>
      </c>
      <c r="M38" s="87">
        <f t="shared" ref="M38:M40" si="16">M31</f>
        <v>10.116413999999999</v>
      </c>
      <c r="N38" s="87">
        <f t="shared" ref="N38:R40" si="17">N31*1.5</f>
        <v>8.7255629999999993</v>
      </c>
      <c r="O38" s="87">
        <f t="shared" si="17"/>
        <v>1.8710999999999998</v>
      </c>
      <c r="P38" s="87">
        <f t="shared" si="17"/>
        <v>8.226602999999999</v>
      </c>
      <c r="Q38" s="87">
        <f t="shared" si="17"/>
        <v>0.143451</v>
      </c>
      <c r="R38" s="87">
        <f t="shared" si="17"/>
        <v>1.503117</v>
      </c>
      <c r="S38" s="87"/>
    </row>
    <row r="39" spans="1:19" x14ac:dyDescent="0.3">
      <c r="A39" s="94" t="s">
        <v>14</v>
      </c>
      <c r="B39" s="95">
        <v>2</v>
      </c>
      <c r="C39" s="95" t="s">
        <v>20</v>
      </c>
      <c r="D39" s="94" t="s">
        <v>21</v>
      </c>
      <c r="E39" s="95" t="s">
        <v>17</v>
      </c>
      <c r="F39" s="102">
        <f t="shared" ref="F39" si="18">F32*1.5</f>
        <v>73.073144999999997</v>
      </c>
      <c r="G39" s="102">
        <f t="shared" si="12"/>
        <v>64.41</v>
      </c>
      <c r="H39" s="102">
        <f t="shared" si="12"/>
        <v>8.6631449999999983</v>
      </c>
      <c r="I39" s="102">
        <f t="shared" si="15"/>
        <v>31.586663999999999</v>
      </c>
      <c r="J39" s="102">
        <f>I39+H39</f>
        <v>40.249808999999999</v>
      </c>
      <c r="K39" s="102">
        <f>J39+G39</f>
        <v>104.659809</v>
      </c>
      <c r="M39" s="87">
        <f t="shared" si="16"/>
        <v>10.447301999999999</v>
      </c>
      <c r="N39" s="87">
        <f t="shared" si="17"/>
        <v>9.0109589999999997</v>
      </c>
      <c r="O39" s="87">
        <f t="shared" si="17"/>
        <v>1.9322999999999997</v>
      </c>
      <c r="P39" s="87">
        <f t="shared" si="17"/>
        <v>8.4956789999999991</v>
      </c>
      <c r="Q39" s="87">
        <f t="shared" si="17"/>
        <v>0.14814299999999997</v>
      </c>
      <c r="R39" s="87">
        <f t="shared" si="17"/>
        <v>1.5522809999999998</v>
      </c>
      <c r="S39" s="87"/>
    </row>
    <row r="40" spans="1:19" x14ac:dyDescent="0.3">
      <c r="A40" s="94" t="s">
        <v>14</v>
      </c>
      <c r="B40" s="95">
        <v>2</v>
      </c>
      <c r="C40" s="95" t="s">
        <v>104</v>
      </c>
      <c r="D40" s="94" t="s">
        <v>101</v>
      </c>
      <c r="E40" s="95" t="s">
        <v>17</v>
      </c>
      <c r="F40" s="102">
        <f t="shared" ref="F40" si="19">F33*1.5</f>
        <v>68.144999999999996</v>
      </c>
      <c r="G40" s="102">
        <f t="shared" si="12"/>
        <v>60.06</v>
      </c>
      <c r="H40" s="102">
        <f t="shared" si="12"/>
        <v>8.0849999999999991</v>
      </c>
      <c r="I40" s="102">
        <f t="shared" si="15"/>
        <v>29.453423999999998</v>
      </c>
      <c r="J40" s="102">
        <f>I40+H40</f>
        <v>37.538423999999999</v>
      </c>
      <c r="K40" s="102">
        <f>J40+G40</f>
        <v>97.598423999999994</v>
      </c>
      <c r="M40" s="87">
        <f t="shared" si="16"/>
        <v>9.7417319999999989</v>
      </c>
      <c r="N40" s="87">
        <f t="shared" si="17"/>
        <v>8.4023939999999993</v>
      </c>
      <c r="O40" s="87">
        <f t="shared" si="17"/>
        <v>1.8017999999999996</v>
      </c>
      <c r="P40" s="87">
        <f t="shared" si="17"/>
        <v>7.9219139999999992</v>
      </c>
      <c r="Q40" s="87">
        <f t="shared" si="17"/>
        <v>0.13813799999999998</v>
      </c>
      <c r="R40" s="87">
        <f t="shared" si="17"/>
        <v>1.4474459999999998</v>
      </c>
      <c r="S40" s="87"/>
    </row>
    <row r="41" spans="1:19" ht="4.95" customHeight="1" x14ac:dyDescent="0.3">
      <c r="A41" s="75"/>
      <c r="B41" s="77"/>
      <c r="C41" s="77"/>
      <c r="D41" s="75"/>
      <c r="E41" s="77"/>
      <c r="F41" s="77"/>
      <c r="G41" s="78"/>
      <c r="H41" s="78"/>
      <c r="I41" s="78"/>
      <c r="J41" s="78"/>
      <c r="K41" s="78"/>
    </row>
    <row r="42" spans="1:19" x14ac:dyDescent="0.3">
      <c r="A42" s="75"/>
      <c r="B42" s="91" t="s">
        <v>121</v>
      </c>
      <c r="C42" s="77"/>
      <c r="D42" s="75"/>
      <c r="E42" s="77"/>
      <c r="F42" s="77"/>
      <c r="G42" s="78"/>
      <c r="H42" s="78"/>
      <c r="I42" s="78"/>
      <c r="J42" s="78"/>
      <c r="K42" s="78"/>
    </row>
    <row r="43" spans="1:19" x14ac:dyDescent="0.3">
      <c r="A43" s="75"/>
      <c r="B43" s="94" t="s">
        <v>133</v>
      </c>
      <c r="C43" s="77"/>
      <c r="D43" s="75"/>
      <c r="E43" s="77"/>
      <c r="F43" s="77"/>
      <c r="G43" s="78"/>
      <c r="H43" s="78"/>
      <c r="I43" s="78"/>
      <c r="J43" s="78"/>
      <c r="K43" s="78"/>
    </row>
    <row r="44" spans="1:19" ht="4.95" customHeight="1" x14ac:dyDescent="0.3">
      <c r="A44" s="75"/>
      <c r="B44" s="95"/>
      <c r="C44" s="77"/>
      <c r="D44" s="75"/>
      <c r="E44" s="77"/>
      <c r="F44" s="77"/>
      <c r="G44" s="78"/>
      <c r="H44" s="78"/>
      <c r="I44" s="78"/>
      <c r="J44" s="78"/>
      <c r="K44" s="78"/>
    </row>
    <row r="45" spans="1:19" x14ac:dyDescent="0.3">
      <c r="A45" s="75"/>
      <c r="B45" s="91" t="s">
        <v>120</v>
      </c>
      <c r="C45" s="77"/>
      <c r="D45" s="75"/>
      <c r="E45" s="77"/>
      <c r="F45" s="77"/>
      <c r="G45" s="78"/>
      <c r="H45" s="78"/>
      <c r="I45" s="78"/>
      <c r="J45" s="78"/>
      <c r="K45" s="78"/>
    </row>
    <row r="46" spans="1:19" x14ac:dyDescent="0.3">
      <c r="A46" s="88"/>
      <c r="B46" s="94" t="s">
        <v>117</v>
      </c>
      <c r="C46" s="77"/>
      <c r="E46" s="77"/>
      <c r="F46" s="77"/>
      <c r="G46" s="77"/>
      <c r="H46" s="77"/>
      <c r="I46" s="78"/>
      <c r="J46" s="78"/>
      <c r="K46" s="78"/>
    </row>
    <row r="47" spans="1:19" x14ac:dyDescent="0.3">
      <c r="A47" s="88"/>
      <c r="B47" s="94" t="s">
        <v>118</v>
      </c>
      <c r="C47" s="77"/>
      <c r="E47" s="77"/>
      <c r="F47" s="77"/>
      <c r="G47" s="77"/>
      <c r="H47" s="77"/>
      <c r="I47" s="78"/>
      <c r="J47" s="78"/>
      <c r="K47" s="78"/>
    </row>
    <row r="48" spans="1:19" ht="7.2" customHeight="1" x14ac:dyDescent="0.3">
      <c r="A48" s="88"/>
      <c r="B48" s="94"/>
      <c r="C48" s="77"/>
      <c r="E48" s="77"/>
      <c r="F48" s="77"/>
      <c r="G48" s="77"/>
      <c r="H48" s="77"/>
      <c r="I48" s="78"/>
      <c r="J48" s="78"/>
      <c r="K48" s="78"/>
    </row>
    <row r="49" spans="1:11" x14ac:dyDescent="0.3">
      <c r="A49" s="88"/>
      <c r="B49" s="91" t="s">
        <v>119</v>
      </c>
      <c r="C49" s="77"/>
      <c r="E49" s="77"/>
      <c r="F49" s="77"/>
      <c r="G49" s="77"/>
      <c r="H49" s="77"/>
      <c r="I49" s="78"/>
      <c r="J49" s="78"/>
      <c r="K49" s="78"/>
    </row>
    <row r="50" spans="1:11" x14ac:dyDescent="0.3">
      <c r="A50" s="88"/>
      <c r="B50" s="94" t="s">
        <v>27</v>
      </c>
      <c r="C50" s="77"/>
      <c r="E50" s="77"/>
      <c r="F50" s="77"/>
      <c r="G50" s="77"/>
      <c r="H50" s="77"/>
      <c r="I50" s="78"/>
      <c r="J50" s="78"/>
      <c r="K50" s="78"/>
    </row>
    <row r="51" spans="1:11" x14ac:dyDescent="0.3">
      <c r="A51" s="88"/>
      <c r="B51" s="94" t="s">
        <v>28</v>
      </c>
      <c r="C51" s="77"/>
      <c r="E51" s="77"/>
      <c r="F51" s="77"/>
      <c r="G51" s="77"/>
      <c r="H51" s="77"/>
      <c r="I51" s="78"/>
      <c r="J51" s="78"/>
      <c r="K51" s="78"/>
    </row>
    <row r="52" spans="1:11" x14ac:dyDescent="0.3">
      <c r="A52" s="88"/>
      <c r="B52" s="94" t="s">
        <v>29</v>
      </c>
      <c r="C52" s="77"/>
      <c r="E52" s="77"/>
      <c r="F52" s="77"/>
      <c r="G52" s="77"/>
      <c r="H52" s="77"/>
      <c r="I52" s="78"/>
      <c r="J52" s="78"/>
      <c r="K52" s="78"/>
    </row>
    <row r="53" spans="1:11" ht="6" customHeight="1" x14ac:dyDescent="0.3">
      <c r="A53" s="88"/>
      <c r="B53" s="95"/>
      <c r="C53" s="88"/>
      <c r="D53" s="88"/>
      <c r="E53" s="90"/>
      <c r="F53" s="90"/>
      <c r="G53" s="88"/>
      <c r="H53" s="88"/>
      <c r="I53" s="90"/>
      <c r="J53" s="90"/>
      <c r="K53" s="90"/>
    </row>
    <row r="54" spans="1:11" x14ac:dyDescent="0.3">
      <c r="B54" s="93" t="s">
        <v>65</v>
      </c>
      <c r="C54" s="77"/>
    </row>
    <row r="55" spans="1:11" x14ac:dyDescent="0.3">
      <c r="B55" s="94" t="s">
        <v>126</v>
      </c>
      <c r="C55" s="94"/>
      <c r="D55" s="94"/>
      <c r="E55" s="94"/>
      <c r="F55" s="94"/>
    </row>
    <row r="56" spans="1:11" x14ac:dyDescent="0.3">
      <c r="B56" s="94" t="s">
        <v>127</v>
      </c>
      <c r="C56" s="94"/>
      <c r="D56" s="94"/>
      <c r="E56" s="94"/>
      <c r="F56" s="94"/>
    </row>
    <row r="57" spans="1:11" x14ac:dyDescent="0.3">
      <c r="B57" s="94" t="s">
        <v>128</v>
      </c>
      <c r="C57" s="94"/>
      <c r="D57" s="94"/>
      <c r="E57" s="94"/>
      <c r="F57" s="94"/>
    </row>
    <row r="58" spans="1:11" x14ac:dyDescent="0.3">
      <c r="B58" s="94" t="s">
        <v>130</v>
      </c>
      <c r="C58" s="94"/>
      <c r="D58" s="94"/>
      <c r="E58" s="94"/>
      <c r="F58" s="94"/>
    </row>
    <row r="59" spans="1:11" x14ac:dyDescent="0.3">
      <c r="B59" s="94" t="s">
        <v>129</v>
      </c>
      <c r="C59" s="94"/>
      <c r="D59" s="94"/>
      <c r="E59" s="94"/>
      <c r="F59" s="94"/>
    </row>
    <row r="60" spans="1:11" ht="4.95" customHeight="1" x14ac:dyDescent="0.3">
      <c r="B60" s="94"/>
      <c r="C60" s="94"/>
      <c r="D60" s="94"/>
      <c r="E60" s="94"/>
      <c r="F60" s="94"/>
    </row>
    <row r="61" spans="1:11" x14ac:dyDescent="0.3">
      <c r="B61" s="96" t="s">
        <v>116</v>
      </c>
      <c r="C61" s="97"/>
    </row>
    <row r="62" spans="1:11" x14ac:dyDescent="0.3">
      <c r="B62" s="76" t="s">
        <v>107</v>
      </c>
      <c r="D62" s="80"/>
    </row>
    <row r="63" spans="1:11" x14ac:dyDescent="0.3">
      <c r="B63" s="76" t="s">
        <v>108</v>
      </c>
    </row>
  </sheetData>
  <pageMargins left="0.25" right="0.25" top="0.75" bottom="0.75" header="0.3" footer="0.3"/>
  <pageSetup orientation="landscape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C1:H21"/>
  <sheetViews>
    <sheetView workbookViewId="0">
      <selection activeCell="G27" sqref="G27"/>
    </sheetView>
  </sheetViews>
  <sheetFormatPr defaultColWidth="9.109375" defaultRowHeight="13.2" x14ac:dyDescent="0.25"/>
  <cols>
    <col min="3" max="3" width="20.109375" customWidth="1"/>
    <col min="5" max="5" width="11.109375" customWidth="1"/>
    <col min="6" max="6" width="13.33203125" bestFit="1" customWidth="1"/>
  </cols>
  <sheetData>
    <row r="1" spans="3:8" x14ac:dyDescent="0.25">
      <c r="E1" t="s">
        <v>47</v>
      </c>
      <c r="F1" t="s">
        <v>100</v>
      </c>
      <c r="G1" t="s">
        <v>48</v>
      </c>
      <c r="H1" t="s">
        <v>49</v>
      </c>
    </row>
    <row r="2" spans="3:8" x14ac:dyDescent="0.25">
      <c r="C2">
        <v>2016</v>
      </c>
      <c r="D2" t="s">
        <v>46</v>
      </c>
      <c r="E2" s="30">
        <v>39.04</v>
      </c>
      <c r="F2" s="30">
        <v>40.04</v>
      </c>
      <c r="G2" s="74">
        <v>41.58</v>
      </c>
      <c r="H2" s="74">
        <v>42.94</v>
      </c>
    </row>
    <row r="4" spans="3:8" x14ac:dyDescent="0.25">
      <c r="C4" t="s">
        <v>41</v>
      </c>
      <c r="D4" s="30">
        <v>3</v>
      </c>
      <c r="E4" s="22">
        <f>ROUND($E$2*(D4/100),2)</f>
        <v>1.17</v>
      </c>
      <c r="F4" s="22">
        <f>ROUND($F$2*(D4/100),2)</f>
        <v>1.2</v>
      </c>
      <c r="G4" s="22">
        <f t="shared" ref="G4:G9" si="0">$G$2*(D4/100)</f>
        <v>1.2473999999999998</v>
      </c>
      <c r="H4" s="22">
        <f t="shared" ref="H4:H9" si="1">$H$2*(D4/100)</f>
        <v>1.2881999999999998</v>
      </c>
    </row>
    <row r="5" spans="3:8" x14ac:dyDescent="0.25">
      <c r="C5" t="s">
        <v>42</v>
      </c>
      <c r="D5" s="30">
        <v>13.99</v>
      </c>
      <c r="E5" s="22">
        <f t="shared" ref="E5:E9" si="2">ROUND($E$2*(D5/100),2)</f>
        <v>5.46</v>
      </c>
      <c r="F5" s="22">
        <f t="shared" ref="F5:F12" si="3">ROUND($F$2*(D5/100),2)</f>
        <v>5.6</v>
      </c>
      <c r="G5" s="22">
        <f t="shared" si="0"/>
        <v>5.8170419999999998</v>
      </c>
      <c r="H5" s="22">
        <f t="shared" si="1"/>
        <v>6.0073059999999998</v>
      </c>
    </row>
    <row r="6" spans="3:8" x14ac:dyDescent="0.25">
      <c r="C6" t="s">
        <v>43</v>
      </c>
      <c r="D6" s="30">
        <v>13.19</v>
      </c>
      <c r="E6" s="23">
        <f t="shared" si="2"/>
        <v>5.15</v>
      </c>
      <c r="F6" s="22">
        <f t="shared" si="3"/>
        <v>5.28</v>
      </c>
      <c r="G6" s="22">
        <f t="shared" si="0"/>
        <v>5.4844019999999993</v>
      </c>
      <c r="H6" s="22">
        <f t="shared" si="1"/>
        <v>5.6637859999999991</v>
      </c>
    </row>
    <row r="7" spans="3:8" x14ac:dyDescent="0.25">
      <c r="C7" t="s">
        <v>44</v>
      </c>
      <c r="D7" s="30">
        <v>24.33</v>
      </c>
      <c r="E7" s="23">
        <f t="shared" si="2"/>
        <v>9.5</v>
      </c>
      <c r="F7" s="22">
        <f t="shared" si="3"/>
        <v>9.74</v>
      </c>
      <c r="G7" s="22">
        <f t="shared" si="0"/>
        <v>10.116413999999999</v>
      </c>
      <c r="H7" s="22">
        <f t="shared" si="1"/>
        <v>10.447301999999999</v>
      </c>
    </row>
    <row r="8" spans="3:8" x14ac:dyDescent="0.25">
      <c r="C8" t="s">
        <v>45</v>
      </c>
      <c r="D8" s="30">
        <v>2.41</v>
      </c>
      <c r="E8" s="23">
        <f t="shared" si="2"/>
        <v>0.94</v>
      </c>
      <c r="F8" s="22">
        <f t="shared" si="3"/>
        <v>0.96</v>
      </c>
      <c r="G8" s="22">
        <f t="shared" si="0"/>
        <v>1.002078</v>
      </c>
      <c r="H8" s="22">
        <f t="shared" si="1"/>
        <v>1.0348539999999999</v>
      </c>
    </row>
    <row r="9" spans="3:8" x14ac:dyDescent="0.25">
      <c r="C9" t="s">
        <v>56</v>
      </c>
      <c r="D9" s="30">
        <v>0.23</v>
      </c>
      <c r="E9" s="23">
        <f t="shared" si="2"/>
        <v>0.09</v>
      </c>
      <c r="F9" s="22">
        <f t="shared" si="3"/>
        <v>0.09</v>
      </c>
      <c r="G9" s="22">
        <f t="shared" si="0"/>
        <v>9.5633999999999997E-2</v>
      </c>
      <c r="H9" s="22">
        <f t="shared" si="1"/>
        <v>9.8761999999999989E-2</v>
      </c>
    </row>
    <row r="10" spans="3:8" x14ac:dyDescent="0.25">
      <c r="C10" t="s">
        <v>50</v>
      </c>
      <c r="D10" s="21"/>
      <c r="E10" s="23">
        <f>SUM(E4:E9)</f>
        <v>22.310000000000002</v>
      </c>
      <c r="F10" s="23">
        <f>SUM(F4:F9)</f>
        <v>22.87</v>
      </c>
      <c r="G10" s="22">
        <f>SUM(G4:G9)</f>
        <v>23.762969999999999</v>
      </c>
      <c r="H10" s="22">
        <f>SUM(H4:H9)</f>
        <v>24.540209999999998</v>
      </c>
    </row>
    <row r="11" spans="3:8" x14ac:dyDescent="0.25">
      <c r="D11" s="21"/>
      <c r="E11" s="22"/>
      <c r="F11" s="22"/>
      <c r="G11" s="22"/>
      <c r="H11" s="22"/>
    </row>
    <row r="12" spans="3:8" x14ac:dyDescent="0.25">
      <c r="C12" t="s">
        <v>11</v>
      </c>
      <c r="D12" s="30">
        <v>13.45</v>
      </c>
      <c r="E12" s="22">
        <f>ROUND($E$2*($D12/100),2)</f>
        <v>5.25</v>
      </c>
      <c r="F12" s="22">
        <f t="shared" si="3"/>
        <v>5.39</v>
      </c>
      <c r="G12" s="22">
        <f>$G$2*(D12/100)</f>
        <v>5.592509999999999</v>
      </c>
      <c r="H12" s="22">
        <f>$H$2*(D12/100)</f>
        <v>5.7754299999999992</v>
      </c>
    </row>
    <row r="13" spans="3:8" x14ac:dyDescent="0.25">
      <c r="E13" s="22">
        <f>ROUND(E10+E12,2)</f>
        <v>27.56</v>
      </c>
      <c r="F13" s="22">
        <f>ROUND(F10+F12,2)</f>
        <v>28.26</v>
      </c>
      <c r="G13" s="21">
        <f>G10+G12</f>
        <v>29.35548</v>
      </c>
      <c r="H13" s="21">
        <f>H10+H12</f>
        <v>30.315639999999998</v>
      </c>
    </row>
    <row r="14" spans="3:8" x14ac:dyDescent="0.25">
      <c r="E14" s="21">
        <f>E2+E13</f>
        <v>66.599999999999994</v>
      </c>
    </row>
    <row r="15" spans="3:8" x14ac:dyDescent="0.25">
      <c r="C15" t="s">
        <v>57</v>
      </c>
    </row>
    <row r="21" spans="3:3" x14ac:dyDescent="0.25">
      <c r="C21" s="25"/>
    </row>
  </sheetData>
  <pageMargins left="0.75" right="0.75" top="1" bottom="1" header="0.5" footer="0.5"/>
  <pageSetup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S49"/>
  <sheetViews>
    <sheetView workbookViewId="0">
      <selection activeCell="I12" sqref="I12"/>
    </sheetView>
  </sheetViews>
  <sheetFormatPr defaultColWidth="9.109375" defaultRowHeight="13.8" x14ac:dyDescent="0.3"/>
  <cols>
    <col min="1" max="3" width="9.109375" style="76"/>
    <col min="4" max="4" width="31.109375" style="76" customWidth="1"/>
    <col min="5" max="5" width="2.5546875" style="76" bestFit="1" customWidth="1"/>
    <col min="6" max="11" width="8.6640625" style="76" customWidth="1"/>
    <col min="12" max="12" width="11.6640625" style="76" customWidth="1"/>
    <col min="13" max="13" width="14" style="76" customWidth="1"/>
    <col min="14" max="14" width="13.109375" style="76" customWidth="1"/>
    <col min="15" max="15" width="9.109375" style="76"/>
    <col min="16" max="16" width="15.33203125" style="76" customWidth="1"/>
    <col min="17" max="16384" width="9.109375" style="76"/>
  </cols>
  <sheetData>
    <row r="1" spans="1:19" x14ac:dyDescent="0.3">
      <c r="A1" s="75"/>
    </row>
    <row r="2" spans="1:19" x14ac:dyDescent="0.3">
      <c r="A2" s="75"/>
      <c r="B2" s="75"/>
      <c r="C2" s="77"/>
      <c r="D2" s="75"/>
      <c r="E2" s="77"/>
      <c r="F2" s="77"/>
      <c r="G2" s="78"/>
      <c r="H2" s="78"/>
    </row>
    <row r="3" spans="1:19" x14ac:dyDescent="0.3">
      <c r="M3" s="80" t="s">
        <v>61</v>
      </c>
    </row>
    <row r="4" spans="1:19" ht="15.6" x14ac:dyDescent="0.3">
      <c r="A4" s="112" t="s">
        <v>137</v>
      </c>
      <c r="B4" s="92"/>
      <c r="C4" s="92"/>
      <c r="D4" s="91"/>
      <c r="E4" s="92"/>
      <c r="F4" s="92"/>
      <c r="G4" s="98"/>
      <c r="H4" s="98"/>
      <c r="I4" s="98"/>
      <c r="J4" s="98"/>
      <c r="K4" s="98"/>
      <c r="N4" s="80"/>
      <c r="O4" s="80"/>
    </row>
    <row r="5" spans="1:19" x14ac:dyDescent="0.3">
      <c r="A5" s="91"/>
      <c r="B5" s="92"/>
      <c r="C5" s="92"/>
      <c r="D5" s="91"/>
      <c r="E5" s="92"/>
      <c r="F5" s="92"/>
      <c r="G5" s="98"/>
      <c r="H5" s="98"/>
      <c r="I5" s="98"/>
      <c r="J5" s="98"/>
      <c r="K5" s="98"/>
      <c r="M5" s="81" t="s">
        <v>62</v>
      </c>
      <c r="N5" s="81" t="s">
        <v>42</v>
      </c>
      <c r="O5" s="81" t="s">
        <v>41</v>
      </c>
      <c r="P5" s="81" t="s">
        <v>63</v>
      </c>
      <c r="Q5" s="81" t="s">
        <v>56</v>
      </c>
      <c r="R5" s="81" t="s">
        <v>45</v>
      </c>
    </row>
    <row r="6" spans="1:19" ht="41.4" x14ac:dyDescent="0.3">
      <c r="A6" s="91"/>
      <c r="B6" s="92"/>
      <c r="C6" s="92"/>
      <c r="D6" s="91"/>
      <c r="E6" s="92"/>
      <c r="F6" s="99" t="s">
        <v>115</v>
      </c>
      <c r="G6" s="92" t="s">
        <v>2</v>
      </c>
      <c r="H6" s="92" t="s">
        <v>3</v>
      </c>
      <c r="I6" s="99" t="s">
        <v>136</v>
      </c>
      <c r="J6" s="98" t="s">
        <v>135</v>
      </c>
      <c r="K6" s="98" t="s">
        <v>135</v>
      </c>
      <c r="M6" s="89">
        <f>'2017 calcs '!D7/100</f>
        <v>0.2455</v>
      </c>
      <c r="N6" s="89">
        <f>'2017 calcs '!D5/100</f>
        <v>0.13789999999999999</v>
      </c>
      <c r="O6" s="76">
        <f>'2017 calcs '!D4/100</f>
        <v>0.03</v>
      </c>
      <c r="P6" s="76">
        <f>'2017 calcs '!D6/100</f>
        <v>0.12770000000000001</v>
      </c>
      <c r="Q6" s="76">
        <f>'2017 calcs '!D9/100</f>
        <v>2.2000000000000001E-3</v>
      </c>
      <c r="R6" s="76">
        <f>'2017 calcs '!D8/100</f>
        <v>2.3799999999999998E-2</v>
      </c>
    </row>
    <row r="7" spans="1:19" x14ac:dyDescent="0.3">
      <c r="A7" s="91" t="s">
        <v>5</v>
      </c>
      <c r="B7" s="92" t="s">
        <v>6</v>
      </c>
      <c r="C7" s="92" t="s">
        <v>7</v>
      </c>
      <c r="D7" s="91" t="s">
        <v>125</v>
      </c>
      <c r="E7" s="92" t="s">
        <v>9</v>
      </c>
      <c r="F7" s="92" t="s">
        <v>114</v>
      </c>
      <c r="G7" s="92" t="s">
        <v>10</v>
      </c>
      <c r="H7" s="92" t="s">
        <v>11</v>
      </c>
      <c r="I7" s="98" t="s">
        <v>12</v>
      </c>
      <c r="J7" s="98" t="s">
        <v>4</v>
      </c>
      <c r="K7" s="98" t="s">
        <v>134</v>
      </c>
    </row>
    <row r="8" spans="1:19" ht="4.95" customHeight="1" x14ac:dyDescent="0.3">
      <c r="A8" s="100"/>
      <c r="B8" s="95"/>
      <c r="C8" s="103"/>
      <c r="D8" s="100"/>
      <c r="E8" s="95"/>
      <c r="F8" s="95"/>
      <c r="G8" s="103"/>
      <c r="H8" s="103"/>
      <c r="I8" s="103"/>
      <c r="J8" s="103" t="s">
        <v>13</v>
      </c>
      <c r="K8" s="103" t="s">
        <v>13</v>
      </c>
    </row>
    <row r="9" spans="1:19" x14ac:dyDescent="0.3">
      <c r="A9" s="94" t="s">
        <v>14</v>
      </c>
      <c r="B9" s="95">
        <v>2</v>
      </c>
      <c r="C9" s="95" t="s">
        <v>15</v>
      </c>
      <c r="D9" s="94" t="s">
        <v>16</v>
      </c>
      <c r="E9" s="95" t="s">
        <v>17</v>
      </c>
      <c r="F9" s="102">
        <f>G9+H9</f>
        <v>45.58</v>
      </c>
      <c r="G9" s="102">
        <f>'2017 calcs '!E2</f>
        <v>40.33</v>
      </c>
      <c r="H9" s="102">
        <f>'2017 calcs '!E12</f>
        <v>5.25</v>
      </c>
      <c r="I9" s="102">
        <f>'2017 calcs '!E10</f>
        <v>22.87</v>
      </c>
      <c r="J9" s="102">
        <f>I9+H9</f>
        <v>28.12</v>
      </c>
      <c r="K9" s="102">
        <f>J9+G9</f>
        <v>68.45</v>
      </c>
      <c r="L9" s="86"/>
      <c r="M9" s="87">
        <f>M6*$G$9</f>
        <v>9.9010149999999992</v>
      </c>
      <c r="N9" s="87">
        <f t="shared" ref="N9:R9" si="0">N6*$G$9</f>
        <v>5.5615069999999998</v>
      </c>
      <c r="O9" s="87">
        <f t="shared" si="0"/>
        <v>1.2099</v>
      </c>
      <c r="P9" s="87">
        <f t="shared" si="0"/>
        <v>5.1501410000000005</v>
      </c>
      <c r="Q9" s="87">
        <f t="shared" si="0"/>
        <v>8.8725999999999999E-2</v>
      </c>
      <c r="R9" s="87">
        <f t="shared" si="0"/>
        <v>0.95985399999999987</v>
      </c>
      <c r="S9" s="87"/>
    </row>
    <row r="10" spans="1:19" x14ac:dyDescent="0.3">
      <c r="A10" s="94" t="s">
        <v>14</v>
      </c>
      <c r="B10" s="95">
        <v>2</v>
      </c>
      <c r="C10" s="95" t="s">
        <v>18</v>
      </c>
      <c r="D10" s="94" t="s">
        <v>19</v>
      </c>
      <c r="E10" s="95" t="s">
        <v>17</v>
      </c>
      <c r="F10" s="102">
        <f t="shared" ref="F10:F12" si="1">G10+H10</f>
        <v>48.542090000000002</v>
      </c>
      <c r="G10" s="102">
        <f>'2017 calcs '!G2</f>
        <v>42.95</v>
      </c>
      <c r="H10" s="102">
        <f>'2017 calcs '!G12</f>
        <v>5.5920899999999998</v>
      </c>
      <c r="I10" s="102">
        <f>'2017 calcs '!G10</f>
        <v>24.356945000000003</v>
      </c>
      <c r="J10" s="102">
        <f>I10+H10</f>
        <v>29.949035000000002</v>
      </c>
      <c r="K10" s="102">
        <f>J10+G10</f>
        <v>72.899034999999998</v>
      </c>
      <c r="M10" s="87">
        <f>M6*$G$10</f>
        <v>10.544225000000001</v>
      </c>
      <c r="N10" s="87">
        <f t="shared" ref="N10:R10" si="2">N6*$G$10</f>
        <v>5.9228050000000003</v>
      </c>
      <c r="O10" s="87">
        <f t="shared" si="2"/>
        <v>1.2885</v>
      </c>
      <c r="P10" s="87">
        <f t="shared" si="2"/>
        <v>5.4847150000000005</v>
      </c>
      <c r="Q10" s="87">
        <f t="shared" si="2"/>
        <v>9.4490000000000018E-2</v>
      </c>
      <c r="R10" s="87">
        <f t="shared" si="2"/>
        <v>1.0222100000000001</v>
      </c>
      <c r="S10" s="87"/>
    </row>
    <row r="11" spans="1:19" x14ac:dyDescent="0.3">
      <c r="A11" s="94" t="s">
        <v>14</v>
      </c>
      <c r="B11" s="95">
        <v>2</v>
      </c>
      <c r="C11" s="95" t="s">
        <v>20</v>
      </c>
      <c r="D11" s="94" t="s">
        <v>21</v>
      </c>
      <c r="E11" s="95" t="s">
        <v>17</v>
      </c>
      <c r="F11" s="102">
        <f t="shared" si="1"/>
        <v>50.135672</v>
      </c>
      <c r="G11" s="102">
        <f>'2017 calcs '!H2</f>
        <v>44.36</v>
      </c>
      <c r="H11" s="102">
        <f>'2017 calcs '!H12</f>
        <v>5.7756719999999993</v>
      </c>
      <c r="I11" s="102">
        <f>'2017 calcs '!H10</f>
        <v>25.156555999999998</v>
      </c>
      <c r="J11" s="102">
        <f>I11+H11</f>
        <v>30.932227999999999</v>
      </c>
      <c r="K11" s="102">
        <f>J11+G11</f>
        <v>75.292227999999994</v>
      </c>
      <c r="M11" s="87">
        <f>M6*$G$11</f>
        <v>10.89038</v>
      </c>
      <c r="N11" s="87">
        <f t="shared" ref="N11:R11" si="3">N6*$G$11</f>
        <v>6.1172439999999995</v>
      </c>
      <c r="O11" s="87">
        <f t="shared" si="3"/>
        <v>1.3308</v>
      </c>
      <c r="P11" s="87">
        <f t="shared" si="3"/>
        <v>5.6647720000000001</v>
      </c>
      <c r="Q11" s="87">
        <f t="shared" si="3"/>
        <v>9.7591999999999998E-2</v>
      </c>
      <c r="R11" s="87">
        <f t="shared" si="3"/>
        <v>1.0557679999999998</v>
      </c>
      <c r="S11" s="87"/>
    </row>
    <row r="12" spans="1:19" x14ac:dyDescent="0.3">
      <c r="A12" s="94" t="s">
        <v>14</v>
      </c>
      <c r="B12" s="95">
        <v>2</v>
      </c>
      <c r="C12" s="95" t="s">
        <v>104</v>
      </c>
      <c r="D12" s="94" t="s">
        <v>101</v>
      </c>
      <c r="E12" s="95" t="s">
        <v>17</v>
      </c>
      <c r="F12" s="102">
        <f t="shared" si="1"/>
        <v>46.71</v>
      </c>
      <c r="G12" s="102">
        <f>'2017 calcs '!F2</f>
        <v>41.33</v>
      </c>
      <c r="H12" s="102">
        <f>'2017 calcs '!F12</f>
        <v>5.38</v>
      </c>
      <c r="I12" s="102">
        <f>'2017 calcs '!G10</f>
        <v>24.356945000000003</v>
      </c>
      <c r="J12" s="102">
        <f>I12+H12</f>
        <v>29.736945000000002</v>
      </c>
      <c r="K12" s="102">
        <f>J12+G12</f>
        <v>71.066945000000004</v>
      </c>
      <c r="M12" s="87">
        <f>M6*$G$12</f>
        <v>10.146514999999999</v>
      </c>
      <c r="N12" s="87">
        <f t="shared" ref="N12:R12" si="4">N6*$G$12</f>
        <v>5.6994069999999999</v>
      </c>
      <c r="O12" s="87">
        <f t="shared" si="4"/>
        <v>1.2399</v>
      </c>
      <c r="P12" s="87">
        <f t="shared" si="4"/>
        <v>5.2778410000000004</v>
      </c>
      <c r="Q12" s="87">
        <f t="shared" si="4"/>
        <v>9.0926000000000007E-2</v>
      </c>
      <c r="R12" s="87">
        <f t="shared" si="4"/>
        <v>0.98365399999999992</v>
      </c>
      <c r="S12" s="87"/>
    </row>
    <row r="13" spans="1:19" ht="4.95" customHeight="1" x14ac:dyDescent="0.3">
      <c r="A13" s="94"/>
      <c r="B13" s="95"/>
      <c r="C13" s="95"/>
      <c r="D13" s="94"/>
      <c r="E13" s="95"/>
      <c r="F13" s="95"/>
      <c r="G13" s="102"/>
      <c r="H13" s="102"/>
      <c r="I13" s="102"/>
      <c r="J13" s="102"/>
      <c r="K13" s="102"/>
      <c r="M13" s="87"/>
      <c r="N13" s="87"/>
      <c r="O13" s="87"/>
      <c r="P13" s="87"/>
      <c r="Q13" s="87"/>
      <c r="R13" s="87"/>
      <c r="S13" s="87"/>
    </row>
    <row r="14" spans="1:19" ht="6.6" customHeight="1" x14ac:dyDescent="0.3">
      <c r="A14" s="94"/>
      <c r="B14" s="95"/>
      <c r="C14" s="95"/>
      <c r="D14" s="94"/>
      <c r="E14" s="95"/>
      <c r="F14" s="95"/>
      <c r="G14" s="95"/>
      <c r="H14" s="95"/>
      <c r="I14" s="102"/>
      <c r="J14" s="102"/>
      <c r="K14" s="102"/>
    </row>
    <row r="15" spans="1:19" x14ac:dyDescent="0.3">
      <c r="A15" s="101"/>
      <c r="B15" s="91" t="s">
        <v>22</v>
      </c>
      <c r="C15" s="92"/>
      <c r="D15" s="94"/>
      <c r="E15" s="95"/>
      <c r="F15" s="95"/>
      <c r="G15" s="102"/>
      <c r="H15" s="102"/>
      <c r="I15" s="102"/>
      <c r="J15" s="102"/>
      <c r="K15" s="102"/>
      <c r="M15" s="76" t="s">
        <v>109</v>
      </c>
    </row>
    <row r="16" spans="1:19" x14ac:dyDescent="0.3">
      <c r="A16" s="94" t="s">
        <v>14</v>
      </c>
      <c r="B16" s="95">
        <v>2</v>
      </c>
      <c r="C16" s="95" t="s">
        <v>15</v>
      </c>
      <c r="D16" s="94" t="s">
        <v>16</v>
      </c>
      <c r="E16" s="95" t="s">
        <v>17</v>
      </c>
      <c r="F16" s="102">
        <f t="shared" ref="F16:H19" si="5">F9*1.5</f>
        <v>68.37</v>
      </c>
      <c r="G16" s="102">
        <f t="shared" si="5"/>
        <v>60.494999999999997</v>
      </c>
      <c r="H16" s="102">
        <f t="shared" si="5"/>
        <v>7.875</v>
      </c>
      <c r="I16" s="102">
        <f>(N16+O16+P16+Q16+R16+M16)</f>
        <v>29.356206999999998</v>
      </c>
      <c r="J16" s="102">
        <f>I16+H16</f>
        <v>37.231206999999998</v>
      </c>
      <c r="K16" s="102">
        <f>J16+G16</f>
        <v>97.726206999999988</v>
      </c>
      <c r="M16" s="87">
        <f>M9</f>
        <v>9.9010149999999992</v>
      </c>
      <c r="N16" s="87">
        <f t="shared" ref="N16:R19" si="6">N9*1.5</f>
        <v>8.3422605000000001</v>
      </c>
      <c r="O16" s="87">
        <f t="shared" si="6"/>
        <v>1.8148499999999999</v>
      </c>
      <c r="P16" s="87">
        <f t="shared" si="6"/>
        <v>7.7252115000000003</v>
      </c>
      <c r="Q16" s="87">
        <f t="shared" si="6"/>
        <v>0.13308900000000001</v>
      </c>
      <c r="R16" s="87">
        <f t="shared" si="6"/>
        <v>1.4397809999999998</v>
      </c>
      <c r="S16" s="87"/>
    </row>
    <row r="17" spans="1:19" x14ac:dyDescent="0.3">
      <c r="A17" s="94" t="s">
        <v>14</v>
      </c>
      <c r="B17" s="95">
        <v>2</v>
      </c>
      <c r="C17" s="95" t="s">
        <v>18</v>
      </c>
      <c r="D17" s="94" t="s">
        <v>23</v>
      </c>
      <c r="E17" s="95" t="s">
        <v>17</v>
      </c>
      <c r="F17" s="102">
        <f t="shared" si="5"/>
        <v>72.813135000000003</v>
      </c>
      <c r="G17" s="102">
        <f t="shared" si="5"/>
        <v>64.425000000000011</v>
      </c>
      <c r="H17" s="102">
        <f t="shared" si="5"/>
        <v>8.3881350000000001</v>
      </c>
      <c r="I17" s="102">
        <f t="shared" ref="I17:I19" si="7">(N17+O17+P17+Q17+R17+M17)</f>
        <v>31.263304999999999</v>
      </c>
      <c r="J17" s="102">
        <f>I17+H17</f>
        <v>39.651440000000001</v>
      </c>
      <c r="K17" s="102">
        <f>J17+G17</f>
        <v>104.07644000000002</v>
      </c>
      <c r="M17" s="87">
        <f t="shared" ref="M17:M19" si="8">M10</f>
        <v>10.544225000000001</v>
      </c>
      <c r="N17" s="87">
        <f t="shared" si="6"/>
        <v>8.8842075000000005</v>
      </c>
      <c r="O17" s="87">
        <f t="shared" si="6"/>
        <v>1.93275</v>
      </c>
      <c r="P17" s="87">
        <f t="shared" si="6"/>
        <v>8.2270725000000002</v>
      </c>
      <c r="Q17" s="87">
        <f t="shared" si="6"/>
        <v>0.14173500000000003</v>
      </c>
      <c r="R17" s="87">
        <f t="shared" si="6"/>
        <v>1.533315</v>
      </c>
      <c r="S17" s="87"/>
    </row>
    <row r="18" spans="1:19" x14ac:dyDescent="0.3">
      <c r="A18" s="94" t="s">
        <v>14</v>
      </c>
      <c r="B18" s="95">
        <v>2</v>
      </c>
      <c r="C18" s="95" t="s">
        <v>20</v>
      </c>
      <c r="D18" s="94" t="s">
        <v>21</v>
      </c>
      <c r="E18" s="95" t="s">
        <v>17</v>
      </c>
      <c r="F18" s="102">
        <f t="shared" si="5"/>
        <v>75.203507999999999</v>
      </c>
      <c r="G18" s="102">
        <f t="shared" si="5"/>
        <v>66.539999999999992</v>
      </c>
      <c r="H18" s="102">
        <f t="shared" si="5"/>
        <v>8.6635079999999984</v>
      </c>
      <c r="I18" s="102">
        <f t="shared" si="7"/>
        <v>32.289644000000003</v>
      </c>
      <c r="J18" s="102">
        <f>I18+H18</f>
        <v>40.953152000000003</v>
      </c>
      <c r="K18" s="102">
        <f>J18+G18</f>
        <v>107.49315199999999</v>
      </c>
      <c r="M18" s="87">
        <f t="shared" si="8"/>
        <v>10.89038</v>
      </c>
      <c r="N18" s="87">
        <f t="shared" si="6"/>
        <v>9.1758659999999992</v>
      </c>
      <c r="O18" s="87">
        <f t="shared" si="6"/>
        <v>1.9962</v>
      </c>
      <c r="P18" s="87">
        <f t="shared" si="6"/>
        <v>8.4971580000000007</v>
      </c>
      <c r="Q18" s="87">
        <f t="shared" si="6"/>
        <v>0.14638799999999999</v>
      </c>
      <c r="R18" s="87">
        <f t="shared" si="6"/>
        <v>1.5836519999999998</v>
      </c>
      <c r="S18" s="87"/>
    </row>
    <row r="19" spans="1:19" x14ac:dyDescent="0.3">
      <c r="A19" s="94" t="s">
        <v>14</v>
      </c>
      <c r="B19" s="95">
        <v>2</v>
      </c>
      <c r="C19" s="95" t="s">
        <v>104</v>
      </c>
      <c r="D19" s="94" t="s">
        <v>101</v>
      </c>
      <c r="E19" s="95" t="s">
        <v>17</v>
      </c>
      <c r="F19" s="102">
        <f t="shared" si="5"/>
        <v>70.064999999999998</v>
      </c>
      <c r="G19" s="102">
        <f t="shared" si="5"/>
        <v>61.994999999999997</v>
      </c>
      <c r="H19" s="102">
        <f t="shared" si="5"/>
        <v>8.07</v>
      </c>
      <c r="I19" s="102">
        <f t="shared" si="7"/>
        <v>30.084106999999996</v>
      </c>
      <c r="J19" s="102">
        <f>I19+H19</f>
        <v>38.154106999999996</v>
      </c>
      <c r="K19" s="102">
        <f>J19+G19</f>
        <v>100.14910699999999</v>
      </c>
      <c r="M19" s="87">
        <f t="shared" si="8"/>
        <v>10.146514999999999</v>
      </c>
      <c r="N19" s="87">
        <f t="shared" si="6"/>
        <v>8.5491104999999994</v>
      </c>
      <c r="O19" s="87">
        <f t="shared" si="6"/>
        <v>1.85985</v>
      </c>
      <c r="P19" s="87">
        <f t="shared" si="6"/>
        <v>7.9167615000000007</v>
      </c>
      <c r="Q19" s="87">
        <f t="shared" si="6"/>
        <v>0.13638900000000001</v>
      </c>
      <c r="R19" s="87">
        <f t="shared" si="6"/>
        <v>1.4754809999999998</v>
      </c>
      <c r="S19" s="87"/>
    </row>
    <row r="20" spans="1:19" ht="4.95" customHeight="1" x14ac:dyDescent="0.3">
      <c r="A20" s="75"/>
      <c r="B20" s="77"/>
      <c r="C20" s="77"/>
      <c r="D20" s="75"/>
      <c r="E20" s="77"/>
      <c r="F20" s="77"/>
      <c r="G20" s="78"/>
      <c r="H20" s="78"/>
      <c r="I20" s="78"/>
      <c r="J20" s="78"/>
      <c r="K20" s="78"/>
    </row>
    <row r="21" spans="1:19" x14ac:dyDescent="0.3">
      <c r="A21" s="75"/>
      <c r="B21" s="91" t="s">
        <v>121</v>
      </c>
      <c r="C21" s="77"/>
      <c r="D21" s="75"/>
      <c r="E21" s="77"/>
      <c r="F21" s="77"/>
      <c r="G21" s="78"/>
      <c r="H21" s="78"/>
      <c r="I21" s="78"/>
      <c r="J21" s="78"/>
      <c r="K21" s="78"/>
    </row>
    <row r="22" spans="1:19" x14ac:dyDescent="0.3">
      <c r="A22" s="75"/>
      <c r="B22" s="94" t="s">
        <v>133</v>
      </c>
      <c r="C22" s="77"/>
      <c r="D22" s="75"/>
      <c r="E22" s="77"/>
      <c r="F22" s="77"/>
      <c r="G22" s="78"/>
      <c r="H22" s="78"/>
      <c r="I22" s="78"/>
      <c r="J22" s="78"/>
      <c r="K22" s="78"/>
    </row>
    <row r="23" spans="1:19" ht="4.95" customHeight="1" x14ac:dyDescent="0.3">
      <c r="A23" s="75"/>
      <c r="B23" s="95"/>
      <c r="C23" s="77"/>
      <c r="D23" s="75"/>
      <c r="E23" s="77"/>
      <c r="F23" s="77"/>
      <c r="G23" s="78"/>
      <c r="H23" s="78"/>
      <c r="I23" s="78"/>
      <c r="J23" s="78"/>
      <c r="K23" s="78"/>
    </row>
    <row r="24" spans="1:19" x14ac:dyDescent="0.3">
      <c r="A24" s="75"/>
      <c r="B24" s="91" t="s">
        <v>120</v>
      </c>
      <c r="C24" s="77"/>
      <c r="D24" s="75"/>
      <c r="E24" s="77"/>
      <c r="F24" s="77"/>
      <c r="G24" s="78"/>
      <c r="H24" s="78"/>
      <c r="I24" s="78"/>
      <c r="J24" s="78"/>
      <c r="K24" s="78"/>
    </row>
    <row r="25" spans="1:19" x14ac:dyDescent="0.3">
      <c r="A25" s="88"/>
      <c r="B25" s="94" t="s">
        <v>117</v>
      </c>
      <c r="C25" s="77"/>
      <c r="E25" s="77"/>
      <c r="F25" s="77"/>
      <c r="G25" s="77"/>
      <c r="H25" s="77"/>
      <c r="I25" s="78"/>
      <c r="J25" s="78"/>
      <c r="K25" s="78"/>
    </row>
    <row r="26" spans="1:19" x14ac:dyDescent="0.3">
      <c r="A26" s="88"/>
      <c r="B26" s="94" t="s">
        <v>118</v>
      </c>
      <c r="C26" s="77"/>
      <c r="E26" s="77"/>
      <c r="F26" s="77"/>
      <c r="G26" s="77"/>
      <c r="H26" s="77"/>
      <c r="I26" s="78"/>
      <c r="J26" s="78"/>
      <c r="K26" s="78"/>
    </row>
    <row r="27" spans="1:19" ht="7.2" customHeight="1" x14ac:dyDescent="0.3">
      <c r="A27" s="88"/>
      <c r="B27" s="94"/>
      <c r="C27" s="77"/>
      <c r="E27" s="77"/>
      <c r="F27" s="77"/>
      <c r="G27" s="77"/>
      <c r="H27" s="77"/>
      <c r="I27" s="78"/>
      <c r="J27" s="78"/>
      <c r="K27" s="78"/>
    </row>
    <row r="28" spans="1:19" ht="6" customHeight="1" x14ac:dyDescent="0.3">
      <c r="A28" s="88"/>
      <c r="B28" s="95"/>
      <c r="C28" s="88"/>
      <c r="D28" s="88"/>
      <c r="E28" s="90"/>
      <c r="F28" s="90"/>
      <c r="G28" s="88"/>
      <c r="H28" s="88"/>
      <c r="I28" s="90"/>
      <c r="J28" s="90"/>
      <c r="K28" s="90"/>
    </row>
    <row r="29" spans="1:19" x14ac:dyDescent="0.3">
      <c r="B29" s="93" t="s">
        <v>65</v>
      </c>
      <c r="C29" s="77"/>
    </row>
    <row r="30" spans="1:19" x14ac:dyDescent="0.3">
      <c r="B30" s="94" t="s">
        <v>126</v>
      </c>
      <c r="C30" s="94"/>
      <c r="D30" s="94"/>
      <c r="E30" s="94"/>
      <c r="F30" s="94"/>
    </row>
    <row r="31" spans="1:19" x14ac:dyDescent="0.3">
      <c r="B31" s="94" t="s">
        <v>127</v>
      </c>
      <c r="C31" s="94"/>
      <c r="D31" s="94"/>
      <c r="E31" s="94"/>
      <c r="F31" s="94"/>
    </row>
    <row r="32" spans="1:19" x14ac:dyDescent="0.3">
      <c r="B32" s="94" t="s">
        <v>128</v>
      </c>
      <c r="C32" s="94"/>
      <c r="D32" s="94"/>
      <c r="E32" s="94"/>
      <c r="F32" s="94"/>
    </row>
    <row r="33" spans="2:9" x14ac:dyDescent="0.3">
      <c r="B33" s="94" t="s">
        <v>130</v>
      </c>
      <c r="C33" s="94"/>
      <c r="D33" s="94"/>
      <c r="E33" s="94"/>
      <c r="F33" s="94"/>
    </row>
    <row r="34" spans="2:9" x14ac:dyDescent="0.3">
      <c r="B34" s="94" t="s">
        <v>129</v>
      </c>
      <c r="C34" s="94"/>
      <c r="D34" s="94"/>
      <c r="E34" s="94"/>
      <c r="F34" s="94"/>
    </row>
    <row r="35" spans="2:9" ht="4.95" customHeight="1" x14ac:dyDescent="0.3">
      <c r="B35" s="94"/>
      <c r="C35" s="94"/>
      <c r="D35" s="94"/>
      <c r="E35" s="94"/>
      <c r="F35" s="94"/>
    </row>
    <row r="36" spans="2:9" x14ac:dyDescent="0.3">
      <c r="B36" s="96" t="s">
        <v>116</v>
      </c>
      <c r="C36" s="97"/>
    </row>
    <row r="37" spans="2:9" x14ac:dyDescent="0.3">
      <c r="B37" s="76" t="s">
        <v>107</v>
      </c>
      <c r="D37" s="80"/>
    </row>
    <row r="38" spans="2:9" x14ac:dyDescent="0.3">
      <c r="B38" s="76" t="s">
        <v>108</v>
      </c>
    </row>
    <row r="39" spans="2:9" ht="14.4" thickBot="1" x14ac:dyDescent="0.35"/>
    <row r="40" spans="2:9" x14ac:dyDescent="0.3">
      <c r="B40" s="116" t="s">
        <v>119</v>
      </c>
      <c r="C40" s="117"/>
      <c r="D40" s="117"/>
      <c r="E40" s="117"/>
      <c r="F40" s="117"/>
      <c r="G40" s="117"/>
      <c r="H40" s="117"/>
      <c r="I40" s="118"/>
    </row>
    <row r="41" spans="2:9" x14ac:dyDescent="0.3">
      <c r="B41" s="119" t="s">
        <v>138</v>
      </c>
      <c r="I41" s="120"/>
    </row>
    <row r="42" spans="2:9" x14ac:dyDescent="0.3">
      <c r="B42" s="119" t="s">
        <v>151</v>
      </c>
      <c r="I42" s="120"/>
    </row>
    <row r="43" spans="2:9" x14ac:dyDescent="0.3">
      <c r="B43" s="119"/>
      <c r="I43" s="120"/>
    </row>
    <row r="44" spans="2:9" x14ac:dyDescent="0.3">
      <c r="B44" s="121" t="s">
        <v>147</v>
      </c>
      <c r="C44" s="80" t="s">
        <v>148</v>
      </c>
      <c r="D44" s="80"/>
      <c r="E44" s="80"/>
      <c r="F44" s="80" t="s">
        <v>149</v>
      </c>
      <c r="G44" s="80"/>
      <c r="I44" s="120"/>
    </row>
    <row r="45" spans="2:9" x14ac:dyDescent="0.3">
      <c r="B45" s="119" t="s">
        <v>139</v>
      </c>
      <c r="C45" s="76" t="s">
        <v>142</v>
      </c>
      <c r="F45" s="76" t="s">
        <v>145</v>
      </c>
      <c r="I45" s="120"/>
    </row>
    <row r="46" spans="2:9" x14ac:dyDescent="0.3">
      <c r="B46" s="119"/>
      <c r="I46" s="120"/>
    </row>
    <row r="47" spans="2:9" x14ac:dyDescent="0.3">
      <c r="B47" s="119" t="s">
        <v>140</v>
      </c>
      <c r="C47" s="115" t="s">
        <v>144</v>
      </c>
      <c r="F47" s="76" t="s">
        <v>146</v>
      </c>
      <c r="I47" s="120"/>
    </row>
    <row r="48" spans="2:9" x14ac:dyDescent="0.3">
      <c r="B48" s="119"/>
      <c r="I48" s="120"/>
    </row>
    <row r="49" spans="2:9" ht="14.4" thickBot="1" x14ac:dyDescent="0.35">
      <c r="B49" s="122" t="s">
        <v>141</v>
      </c>
      <c r="C49" s="123" t="s">
        <v>143</v>
      </c>
      <c r="D49" s="124"/>
      <c r="E49" s="124"/>
      <c r="F49" s="124" t="s">
        <v>152</v>
      </c>
      <c r="G49" s="124"/>
      <c r="H49" s="124"/>
      <c r="I49" s="125"/>
    </row>
  </sheetData>
  <pageMargins left="0.25" right="0.25" top="0.75" bottom="0.75" header="0.3" footer="0.3"/>
  <pageSetup orientation="landscape" r:id="rId1"/>
  <headerFooter alignWithMargins="0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C1:H21"/>
  <sheetViews>
    <sheetView workbookViewId="0">
      <selection activeCell="I20" sqref="I20:I21"/>
    </sheetView>
  </sheetViews>
  <sheetFormatPr defaultColWidth="9.109375" defaultRowHeight="13.2" x14ac:dyDescent="0.25"/>
  <cols>
    <col min="3" max="3" width="20.109375" customWidth="1"/>
    <col min="5" max="5" width="11.109375" customWidth="1"/>
    <col min="6" max="6" width="13.33203125" bestFit="1" customWidth="1"/>
  </cols>
  <sheetData>
    <row r="1" spans="3:8" x14ac:dyDescent="0.25">
      <c r="E1" t="s">
        <v>47</v>
      </c>
      <c r="F1" t="s">
        <v>100</v>
      </c>
      <c r="G1" t="s">
        <v>48</v>
      </c>
      <c r="H1" t="s">
        <v>49</v>
      </c>
    </row>
    <row r="2" spans="3:8" x14ac:dyDescent="0.25">
      <c r="C2">
        <v>2017</v>
      </c>
      <c r="D2" t="s">
        <v>46</v>
      </c>
      <c r="E2" s="30">
        <v>40.33</v>
      </c>
      <c r="F2" s="30">
        <v>41.33</v>
      </c>
      <c r="G2" s="74">
        <v>42.95</v>
      </c>
      <c r="H2" s="74">
        <v>44.36</v>
      </c>
    </row>
    <row r="4" spans="3:8" x14ac:dyDescent="0.25">
      <c r="C4" t="s">
        <v>41</v>
      </c>
      <c r="D4" s="30">
        <v>3</v>
      </c>
      <c r="E4" s="22">
        <f>ROUND($E$2*(D4/100),2)</f>
        <v>1.21</v>
      </c>
      <c r="F4" s="22">
        <f>ROUND($F$2*(D4/100),2)</f>
        <v>1.24</v>
      </c>
      <c r="G4" s="22">
        <f t="shared" ref="G4:G9" si="0">$G$2*(D4/100)</f>
        <v>1.2885</v>
      </c>
      <c r="H4" s="22">
        <f t="shared" ref="H4:H9" si="1">$H$2*(D4/100)</f>
        <v>1.3308</v>
      </c>
    </row>
    <row r="5" spans="3:8" x14ac:dyDescent="0.25">
      <c r="C5" t="s">
        <v>42</v>
      </c>
      <c r="D5" s="30">
        <v>13.79</v>
      </c>
      <c r="E5" s="22">
        <f t="shared" ref="E5:E9" si="2">ROUND($E$2*(D5/100),2)</f>
        <v>5.56</v>
      </c>
      <c r="F5" s="22">
        <f t="shared" ref="F5:F12" si="3">ROUND($F$2*(D5/100),2)</f>
        <v>5.7</v>
      </c>
      <c r="G5" s="22">
        <f t="shared" si="0"/>
        <v>5.9228050000000003</v>
      </c>
      <c r="H5" s="22">
        <f t="shared" si="1"/>
        <v>6.1172439999999995</v>
      </c>
    </row>
    <row r="6" spans="3:8" x14ac:dyDescent="0.25">
      <c r="C6" t="s">
        <v>43</v>
      </c>
      <c r="D6" s="30">
        <v>12.77</v>
      </c>
      <c r="E6" s="23">
        <f t="shared" si="2"/>
        <v>5.15</v>
      </c>
      <c r="F6" s="22">
        <f t="shared" si="3"/>
        <v>5.28</v>
      </c>
      <c r="G6" s="22">
        <f t="shared" si="0"/>
        <v>5.4847150000000005</v>
      </c>
      <c r="H6" s="22">
        <f t="shared" si="1"/>
        <v>5.6647720000000001</v>
      </c>
    </row>
    <row r="7" spans="3:8" x14ac:dyDescent="0.25">
      <c r="C7" t="s">
        <v>44</v>
      </c>
      <c r="D7" s="30">
        <v>24.55</v>
      </c>
      <c r="E7" s="23">
        <f t="shared" si="2"/>
        <v>9.9</v>
      </c>
      <c r="F7" s="22">
        <f t="shared" si="3"/>
        <v>10.15</v>
      </c>
      <c r="G7" s="22">
        <f t="shared" si="0"/>
        <v>10.544225000000001</v>
      </c>
      <c r="H7" s="22">
        <f t="shared" si="1"/>
        <v>10.89038</v>
      </c>
    </row>
    <row r="8" spans="3:8" x14ac:dyDescent="0.25">
      <c r="C8" t="s">
        <v>45</v>
      </c>
      <c r="D8" s="30">
        <v>2.38</v>
      </c>
      <c r="E8" s="23">
        <f t="shared" si="2"/>
        <v>0.96</v>
      </c>
      <c r="F8" s="22">
        <f t="shared" si="3"/>
        <v>0.98</v>
      </c>
      <c r="G8" s="22">
        <f t="shared" si="0"/>
        <v>1.0222100000000001</v>
      </c>
      <c r="H8" s="22">
        <f t="shared" si="1"/>
        <v>1.0557679999999998</v>
      </c>
    </row>
    <row r="9" spans="3:8" x14ac:dyDescent="0.25">
      <c r="C9" t="s">
        <v>56</v>
      </c>
      <c r="D9" s="30">
        <v>0.22</v>
      </c>
      <c r="E9" s="23">
        <f t="shared" si="2"/>
        <v>0.09</v>
      </c>
      <c r="F9" s="22">
        <f t="shared" si="3"/>
        <v>0.09</v>
      </c>
      <c r="G9" s="22">
        <f t="shared" si="0"/>
        <v>9.4490000000000018E-2</v>
      </c>
      <c r="H9" s="22">
        <f t="shared" si="1"/>
        <v>9.7591999999999998E-2</v>
      </c>
    </row>
    <row r="10" spans="3:8" x14ac:dyDescent="0.25">
      <c r="C10" t="s">
        <v>50</v>
      </c>
      <c r="D10" s="21"/>
      <c r="E10" s="23">
        <f>SUM(E4:E9)</f>
        <v>22.87</v>
      </c>
      <c r="F10" s="23">
        <f>SUM(F4:F9)</f>
        <v>23.44</v>
      </c>
      <c r="G10" s="22">
        <f>SUM(G4:G9)</f>
        <v>24.356945000000003</v>
      </c>
      <c r="H10" s="22">
        <f>SUM(H4:H9)</f>
        <v>25.156555999999998</v>
      </c>
    </row>
    <row r="11" spans="3:8" x14ac:dyDescent="0.25">
      <c r="D11" s="21"/>
      <c r="E11" s="22"/>
      <c r="F11" s="22"/>
      <c r="G11" s="22"/>
      <c r="H11" s="22"/>
    </row>
    <row r="12" spans="3:8" x14ac:dyDescent="0.25">
      <c r="C12" t="s">
        <v>11</v>
      </c>
      <c r="D12" s="30">
        <v>13.02</v>
      </c>
      <c r="E12" s="22">
        <f>ROUND($E$2*($D12/100),2)</f>
        <v>5.25</v>
      </c>
      <c r="F12" s="22">
        <f t="shared" si="3"/>
        <v>5.38</v>
      </c>
      <c r="G12" s="22">
        <f>$G$2*(D12/100)</f>
        <v>5.5920899999999998</v>
      </c>
      <c r="H12" s="22">
        <f>$H$2*(D12/100)</f>
        <v>5.7756719999999993</v>
      </c>
    </row>
    <row r="13" spans="3:8" x14ac:dyDescent="0.25">
      <c r="E13" s="22">
        <f>ROUND(E10+E12,2)</f>
        <v>28.12</v>
      </c>
      <c r="F13" s="22">
        <f>ROUND(F10+F12,2)</f>
        <v>28.82</v>
      </c>
      <c r="G13" s="21">
        <f>G10+G12</f>
        <v>29.949035000000002</v>
      </c>
      <c r="H13" s="21">
        <f>H10+H12</f>
        <v>30.932227999999999</v>
      </c>
    </row>
    <row r="14" spans="3:8" x14ac:dyDescent="0.25">
      <c r="E14" s="21">
        <f>E2+E13</f>
        <v>68.45</v>
      </c>
    </row>
    <row r="15" spans="3:8" x14ac:dyDescent="0.25">
      <c r="C15" t="s">
        <v>57</v>
      </c>
    </row>
    <row r="21" spans="3:3" x14ac:dyDescent="0.25">
      <c r="C21" s="25"/>
    </row>
  </sheetData>
  <pageMargins left="0.75" right="0.75" top="1" bottom="1" header="0.5" footer="0.5"/>
  <pageSetup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D43"/>
  <sheetViews>
    <sheetView workbookViewId="0">
      <selection activeCell="AJ31" sqref="AJ31"/>
    </sheetView>
  </sheetViews>
  <sheetFormatPr defaultColWidth="9.109375" defaultRowHeight="13.8" x14ac:dyDescent="0.3"/>
  <cols>
    <col min="1" max="1" width="4.109375" style="76" customWidth="1"/>
    <col min="2" max="2" width="6.33203125" style="76" customWidth="1"/>
    <col min="3" max="3" width="0.109375" style="76" customWidth="1"/>
    <col min="4" max="4" width="9.109375" style="76"/>
    <col min="5" max="5" width="9.109375" style="76" customWidth="1"/>
    <col min="6" max="6" width="6.5546875" style="76" bestFit="1" customWidth="1"/>
    <col min="7" max="7" width="4" style="76" customWidth="1"/>
    <col min="8" max="9" width="9.33203125" style="76" customWidth="1"/>
    <col min="10" max="10" width="9.33203125" style="76" bestFit="1" customWidth="1"/>
    <col min="11" max="11" width="7.6640625" style="76" customWidth="1"/>
    <col min="12" max="12" width="7.5546875" style="76" customWidth="1"/>
    <col min="13" max="13" width="6.33203125" style="76" customWidth="1"/>
    <col min="14" max="14" width="6" style="76" bestFit="1" customWidth="1"/>
    <col min="15" max="15" width="7.6640625" style="76" bestFit="1" customWidth="1"/>
    <col min="16" max="16" width="6.109375" style="76" bestFit="1" customWidth="1"/>
    <col min="17" max="17" width="5.6640625" style="76" bestFit="1" customWidth="1"/>
    <col min="18" max="18" width="9.88671875" style="76" hidden="1" customWidth="1"/>
    <col min="19" max="19" width="7.33203125" style="76" hidden="1" customWidth="1"/>
    <col min="20" max="20" width="9" style="76" hidden="1" customWidth="1"/>
    <col min="21" max="21" width="6" style="76" hidden="1" customWidth="1"/>
    <col min="22" max="22" width="5" style="76" hidden="1" customWidth="1"/>
    <col min="23" max="23" width="6.44140625" style="76" hidden="1" customWidth="1"/>
    <col min="24" max="24" width="8.88671875" style="76" hidden="1" customWidth="1"/>
    <col min="25" max="25" width="9.5546875" style="76" hidden="1" customWidth="1"/>
    <col min="26" max="26" width="9" style="76" hidden="1" customWidth="1"/>
    <col min="27" max="27" width="12.44140625" style="76" hidden="1" customWidth="1"/>
    <col min="28" max="28" width="7.6640625" style="76" hidden="1" customWidth="1"/>
    <col min="29" max="29" width="8.44140625" style="76" hidden="1" customWidth="1"/>
    <col min="30" max="16384" width="9.109375" style="76"/>
  </cols>
  <sheetData>
    <row r="1" spans="1:30" ht="15.6" x14ac:dyDescent="0.3">
      <c r="A1" s="112" t="s">
        <v>105</v>
      </c>
      <c r="B1" s="113"/>
      <c r="C1" s="113"/>
      <c r="D1" s="112"/>
      <c r="E1" s="113"/>
      <c r="F1" s="113"/>
      <c r="G1" s="95"/>
      <c r="H1" s="95"/>
      <c r="I1" s="102"/>
      <c r="J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  <c r="Y1" s="102"/>
      <c r="Z1" s="102"/>
      <c r="AA1" s="102"/>
    </row>
    <row r="2" spans="1:30" ht="15.6" x14ac:dyDescent="0.3">
      <c r="A2" s="112" t="s">
        <v>132</v>
      </c>
      <c r="B2" s="113"/>
      <c r="C2" s="113"/>
      <c r="D2" s="112"/>
      <c r="E2" s="113"/>
      <c r="F2" s="113"/>
      <c r="G2" s="95"/>
      <c r="H2" s="95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102"/>
      <c r="V2" s="102"/>
      <c r="W2" s="102"/>
      <c r="X2" s="102"/>
      <c r="Y2" s="102"/>
      <c r="Z2" s="102"/>
      <c r="AA2" s="102"/>
    </row>
    <row r="3" spans="1:30" hidden="1" x14ac:dyDescent="0.3">
      <c r="A3" s="94"/>
      <c r="B3" s="95"/>
      <c r="C3" s="95"/>
      <c r="D3" s="94"/>
      <c r="E3" s="95"/>
      <c r="F3" s="95"/>
      <c r="G3" s="95"/>
      <c r="H3" s="95"/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02"/>
      <c r="T3" s="102"/>
      <c r="U3" s="102"/>
      <c r="V3" s="102"/>
      <c r="W3" s="102"/>
      <c r="X3" s="102"/>
      <c r="Y3" s="102"/>
      <c r="Z3" s="102"/>
      <c r="AA3" s="102"/>
    </row>
    <row r="4" spans="1:30" hidden="1" x14ac:dyDescent="0.3">
      <c r="A4" s="94"/>
      <c r="B4" s="95"/>
      <c r="C4" s="95"/>
      <c r="D4" s="94"/>
      <c r="E4" s="95"/>
      <c r="F4" s="95"/>
      <c r="G4" s="95"/>
      <c r="H4" s="95"/>
      <c r="I4" s="102"/>
      <c r="J4" s="102"/>
      <c r="K4" s="102"/>
    </row>
    <row r="5" spans="1:30" x14ac:dyDescent="0.3">
      <c r="A5" s="94"/>
      <c r="B5" s="95"/>
      <c r="C5" s="95"/>
      <c r="D5" s="94"/>
      <c r="E5" s="95"/>
      <c r="F5" s="95"/>
      <c r="G5" s="95"/>
      <c r="H5" s="95"/>
      <c r="I5" s="102"/>
      <c r="J5" s="102"/>
      <c r="K5" s="102"/>
    </row>
    <row r="6" spans="1:30" x14ac:dyDescent="0.3">
      <c r="A6" s="101"/>
      <c r="B6" s="95"/>
      <c r="C6" s="95"/>
      <c r="D6" s="94"/>
      <c r="E6" s="95"/>
      <c r="F6" s="95"/>
      <c r="G6" s="95"/>
      <c r="H6" s="95"/>
      <c r="I6" s="95"/>
      <c r="J6" s="95"/>
      <c r="K6" s="102"/>
      <c r="L6" s="114" t="s">
        <v>112</v>
      </c>
      <c r="M6" s="114"/>
      <c r="N6" s="114"/>
      <c r="O6" s="114"/>
      <c r="P6" s="114"/>
      <c r="Q6" s="104"/>
    </row>
    <row r="7" spans="1:30" ht="99" customHeight="1" x14ac:dyDescent="0.3">
      <c r="A7" s="109" t="s">
        <v>5</v>
      </c>
      <c r="B7" s="109" t="s">
        <v>6</v>
      </c>
      <c r="C7" s="109" t="s">
        <v>7</v>
      </c>
      <c r="D7" s="109" t="s">
        <v>125</v>
      </c>
      <c r="E7" s="95" t="s">
        <v>13</v>
      </c>
      <c r="F7" s="95"/>
      <c r="G7" s="92" t="s">
        <v>9</v>
      </c>
      <c r="H7" s="109" t="s">
        <v>122</v>
      </c>
      <c r="I7" s="105" t="s">
        <v>123</v>
      </c>
      <c r="J7" s="105" t="s">
        <v>110</v>
      </c>
      <c r="K7" s="105" t="s">
        <v>111</v>
      </c>
      <c r="L7" s="106" t="s">
        <v>44</v>
      </c>
      <c r="M7" s="106" t="s">
        <v>42</v>
      </c>
      <c r="N7" s="106" t="s">
        <v>41</v>
      </c>
      <c r="O7" s="106" t="s">
        <v>63</v>
      </c>
      <c r="P7" s="106" t="s">
        <v>56</v>
      </c>
      <c r="Q7" s="106" t="s">
        <v>45</v>
      </c>
      <c r="R7" s="95"/>
      <c r="S7" s="95"/>
      <c r="T7" s="95"/>
      <c r="U7" s="95"/>
      <c r="V7" s="95"/>
      <c r="W7" s="95"/>
      <c r="X7" s="95"/>
      <c r="Y7" s="95"/>
      <c r="Z7" s="95"/>
      <c r="AA7" s="95"/>
      <c r="AD7" s="105"/>
    </row>
    <row r="8" spans="1:30" x14ac:dyDescent="0.3">
      <c r="A8" s="94" t="s">
        <v>14</v>
      </c>
      <c r="B8" s="95">
        <v>2</v>
      </c>
      <c r="C8" s="101"/>
      <c r="D8" s="94" t="s">
        <v>30</v>
      </c>
      <c r="E8" s="95"/>
      <c r="F8" s="95"/>
      <c r="G8" s="95"/>
      <c r="H8" s="95"/>
      <c r="I8" s="110"/>
      <c r="J8" s="103"/>
      <c r="K8" s="102"/>
      <c r="L8" s="104"/>
      <c r="M8" s="104"/>
      <c r="N8" s="104"/>
      <c r="O8" s="104"/>
      <c r="P8" s="104"/>
      <c r="Q8" s="104"/>
    </row>
    <row r="9" spans="1:30" x14ac:dyDescent="0.3">
      <c r="A9" s="94"/>
      <c r="B9" s="95"/>
      <c r="C9" s="95"/>
      <c r="D9" s="94" t="s">
        <v>31</v>
      </c>
      <c r="E9" s="94"/>
      <c r="F9" s="102">
        <v>0.4</v>
      </c>
      <c r="G9" s="95" t="s">
        <v>17</v>
      </c>
      <c r="H9" s="102">
        <f>I9+J9</f>
        <v>16.552959999999999</v>
      </c>
      <c r="I9" s="102">
        <f>F9*'2016 calcs'!$E$2</f>
        <v>15.616</v>
      </c>
      <c r="J9" s="102">
        <f>I9*0.06</f>
        <v>0.9369599999999999</v>
      </c>
      <c r="K9" s="102">
        <f>L9+M9+N9+P9+Q9</f>
        <v>12.5654208</v>
      </c>
      <c r="L9" s="111">
        <v>9.5</v>
      </c>
      <c r="M9" s="111">
        <f>I9*0.1399</f>
        <v>2.1846783999999997</v>
      </c>
      <c r="N9" s="111">
        <f>I9*0.03</f>
        <v>0.46847999999999995</v>
      </c>
      <c r="O9" s="111" t="s">
        <v>113</v>
      </c>
      <c r="P9" s="111">
        <f>I9*0.0023</f>
        <v>3.5916799999999999E-2</v>
      </c>
      <c r="Q9" s="111">
        <f>I9*0.0241</f>
        <v>0.3763456</v>
      </c>
      <c r="R9" s="107"/>
      <c r="S9" s="107"/>
      <c r="T9" s="107"/>
      <c r="U9" s="107"/>
      <c r="V9" s="107"/>
      <c r="W9" s="107"/>
      <c r="X9" s="107"/>
      <c r="Y9" s="107"/>
      <c r="Z9" s="107"/>
      <c r="AA9" s="107"/>
    </row>
    <row r="10" spans="1:30" x14ac:dyDescent="0.3">
      <c r="A10" s="94"/>
      <c r="B10" s="95"/>
      <c r="C10" s="95"/>
      <c r="D10" s="94" t="s">
        <v>32</v>
      </c>
      <c r="E10" s="95"/>
      <c r="F10" s="102">
        <v>0.5</v>
      </c>
      <c r="G10" s="95" t="s">
        <v>17</v>
      </c>
      <c r="H10" s="102">
        <f t="shared" ref="H10:H13" si="0">I10+J10</f>
        <v>22.145440000000001</v>
      </c>
      <c r="I10" s="102">
        <f>F10*'2016 calcs'!$E$2</f>
        <v>19.52</v>
      </c>
      <c r="J10" s="102">
        <f>I10*0.1345</f>
        <v>2.6254400000000002</v>
      </c>
      <c r="K10" s="102">
        <f t="shared" ref="K10:K13" si="1">L10+M10+N10+O10+P10+Q10</f>
        <v>15.906464</v>
      </c>
      <c r="L10" s="111">
        <v>9.5</v>
      </c>
      <c r="M10" s="111">
        <f t="shared" ref="M10:M13" si="2">I10*0.1399</f>
        <v>2.7308479999999999</v>
      </c>
      <c r="N10" s="111">
        <f t="shared" ref="N10:N13" si="3">I10*0.03</f>
        <v>0.58560000000000001</v>
      </c>
      <c r="O10" s="111">
        <f>I10*0.1319</f>
        <v>2.5746879999999996</v>
      </c>
      <c r="P10" s="111">
        <f t="shared" ref="P10:P13" si="4">I10*0.0023</f>
        <v>4.4895999999999998E-2</v>
      </c>
      <c r="Q10" s="111">
        <f t="shared" ref="Q10:Q13" si="5">I10*0.0241</f>
        <v>0.47043199999999996</v>
      </c>
      <c r="R10" s="107"/>
      <c r="S10" s="107"/>
      <c r="T10" s="107"/>
      <c r="U10" s="107"/>
      <c r="V10" s="107"/>
      <c r="W10" s="107"/>
      <c r="X10" s="107"/>
      <c r="Y10" s="107"/>
      <c r="Z10" s="107"/>
      <c r="AA10" s="107"/>
    </row>
    <row r="11" spans="1:30" x14ac:dyDescent="0.3">
      <c r="A11" s="94"/>
      <c r="B11" s="95"/>
      <c r="C11" s="95"/>
      <c r="D11" s="94" t="s">
        <v>33</v>
      </c>
      <c r="E11" s="95"/>
      <c r="F11" s="102">
        <v>0.6</v>
      </c>
      <c r="G11" s="95" t="s">
        <v>17</v>
      </c>
      <c r="H11" s="102">
        <f t="shared" si="0"/>
        <v>26.574528000000001</v>
      </c>
      <c r="I11" s="102">
        <f>F11*'2016 calcs'!$E$2</f>
        <v>23.423999999999999</v>
      </c>
      <c r="J11" s="102">
        <f t="shared" ref="J11:J13" si="6">I11*0.1345</f>
        <v>3.150528</v>
      </c>
      <c r="K11" s="102">
        <f t="shared" si="1"/>
        <v>17.187756799999999</v>
      </c>
      <c r="L11" s="111">
        <v>9.5</v>
      </c>
      <c r="M11" s="111">
        <f t="shared" si="2"/>
        <v>3.2770175999999998</v>
      </c>
      <c r="N11" s="111">
        <f t="shared" si="3"/>
        <v>0.70272000000000001</v>
      </c>
      <c r="O11" s="111">
        <f t="shared" ref="O11:O13" si="7">I11*0.1319</f>
        <v>3.0896255999999997</v>
      </c>
      <c r="P11" s="111">
        <f t="shared" si="4"/>
        <v>5.3875199999999998E-2</v>
      </c>
      <c r="Q11" s="111">
        <f t="shared" si="5"/>
        <v>0.56451839999999998</v>
      </c>
      <c r="R11" s="107"/>
      <c r="S11" s="107"/>
      <c r="T11" s="107"/>
      <c r="U11" s="107"/>
      <c r="V11" s="107"/>
      <c r="W11" s="107"/>
      <c r="X11" s="107"/>
      <c r="Y11" s="107"/>
      <c r="Z11" s="107"/>
      <c r="AA11" s="107"/>
    </row>
    <row r="12" spans="1:30" x14ac:dyDescent="0.3">
      <c r="D12" s="94" t="s">
        <v>60</v>
      </c>
      <c r="E12" s="95"/>
      <c r="F12" s="102">
        <v>0.7</v>
      </c>
      <c r="G12" s="95" t="s">
        <v>17</v>
      </c>
      <c r="H12" s="102">
        <f t="shared" si="0"/>
        <v>31.003616000000001</v>
      </c>
      <c r="I12" s="102">
        <f>F12*'2016 calcs'!$E$2</f>
        <v>27.327999999999999</v>
      </c>
      <c r="J12" s="102">
        <f t="shared" si="6"/>
        <v>3.6756160000000002</v>
      </c>
      <c r="K12" s="102">
        <f t="shared" si="1"/>
        <v>18.469049599999998</v>
      </c>
      <c r="L12" s="111">
        <v>9.5</v>
      </c>
      <c r="M12" s="111">
        <f t="shared" si="2"/>
        <v>3.8231872</v>
      </c>
      <c r="N12" s="111">
        <f t="shared" si="3"/>
        <v>0.8198399999999999</v>
      </c>
      <c r="O12" s="111">
        <f t="shared" si="7"/>
        <v>3.6045631999999994</v>
      </c>
      <c r="P12" s="111">
        <f t="shared" si="4"/>
        <v>6.2854399999999991E-2</v>
      </c>
      <c r="Q12" s="111">
        <f t="shared" si="5"/>
        <v>0.65860479999999999</v>
      </c>
      <c r="R12" s="107"/>
      <c r="S12" s="107"/>
      <c r="T12" s="107"/>
      <c r="U12" s="107"/>
      <c r="V12" s="107"/>
      <c r="W12" s="107"/>
      <c r="X12" s="107"/>
      <c r="Y12" s="107"/>
      <c r="Z12" s="107"/>
      <c r="AA12" s="107"/>
    </row>
    <row r="13" spans="1:30" x14ac:dyDescent="0.3">
      <c r="D13" s="94" t="s">
        <v>35</v>
      </c>
      <c r="E13" s="95"/>
      <c r="F13" s="102">
        <v>0.83</v>
      </c>
      <c r="G13" s="95" t="s">
        <v>17</v>
      </c>
      <c r="H13" s="102">
        <f t="shared" si="0"/>
        <v>36.761430399999995</v>
      </c>
      <c r="I13" s="102">
        <f>F13*'2016 calcs'!$E$2</f>
        <v>32.403199999999998</v>
      </c>
      <c r="J13" s="102">
        <f t="shared" si="6"/>
        <v>4.3582304000000001</v>
      </c>
      <c r="K13" s="102">
        <f t="shared" si="1"/>
        <v>20.134730240000003</v>
      </c>
      <c r="L13" s="111">
        <v>9.5</v>
      </c>
      <c r="M13" s="111">
        <f t="shared" si="2"/>
        <v>4.5332076799999994</v>
      </c>
      <c r="N13" s="111">
        <f t="shared" si="3"/>
        <v>0.97209599999999996</v>
      </c>
      <c r="O13" s="111">
        <f t="shared" si="7"/>
        <v>4.2739820799999997</v>
      </c>
      <c r="P13" s="111">
        <f t="shared" si="4"/>
        <v>7.4527360000000001E-2</v>
      </c>
      <c r="Q13" s="111">
        <f t="shared" si="5"/>
        <v>0.78091711999999991</v>
      </c>
      <c r="R13" s="107"/>
      <c r="S13" s="107"/>
      <c r="T13" s="107"/>
      <c r="U13" s="107"/>
      <c r="V13" s="107"/>
      <c r="W13" s="107"/>
      <c r="X13" s="107"/>
      <c r="Y13" s="107"/>
      <c r="Z13" s="107"/>
      <c r="AA13" s="107"/>
    </row>
    <row r="14" spans="1:30" x14ac:dyDescent="0.3">
      <c r="H14" s="102"/>
      <c r="J14" s="108"/>
      <c r="L14" s="111"/>
      <c r="M14" s="111"/>
      <c r="N14" s="111"/>
      <c r="O14" s="111"/>
      <c r="P14" s="111"/>
      <c r="Q14" s="111"/>
    </row>
    <row r="15" spans="1:30" x14ac:dyDescent="0.3">
      <c r="A15" s="91" t="s">
        <v>22</v>
      </c>
      <c r="B15" s="95"/>
      <c r="C15" s="95"/>
      <c r="D15" s="94"/>
      <c r="E15" s="95"/>
      <c r="F15" s="95"/>
      <c r="G15" s="95"/>
      <c r="H15" s="102"/>
      <c r="I15" s="102"/>
      <c r="J15" s="102"/>
      <c r="K15" s="95"/>
      <c r="L15" s="111"/>
      <c r="M15" s="111"/>
      <c r="N15" s="111"/>
      <c r="O15" s="111"/>
      <c r="P15" s="111"/>
      <c r="Q15" s="111"/>
    </row>
    <row r="16" spans="1:30" x14ac:dyDescent="0.3">
      <c r="D16" s="94" t="s">
        <v>31</v>
      </c>
      <c r="E16" s="94"/>
      <c r="F16" s="95"/>
      <c r="G16" s="95" t="s">
        <v>17</v>
      </c>
      <c r="H16" s="102">
        <f t="shared" ref="H16:H20" si="8">I16+J16</f>
        <v>24.829439999999998</v>
      </c>
      <c r="I16" s="102">
        <f t="shared" ref="I16:J20" si="9">I9*1.5</f>
        <v>23.423999999999999</v>
      </c>
      <c r="J16" s="102">
        <f t="shared" si="9"/>
        <v>1.4054399999999998</v>
      </c>
      <c r="K16" s="102">
        <f>L16+M16+N16+P16+Q16</f>
        <v>14.098131200000001</v>
      </c>
      <c r="L16" s="111">
        <f>L9</f>
        <v>9.5</v>
      </c>
      <c r="M16" s="111">
        <f t="shared" ref="M16:Q16" si="10">M9*1.5</f>
        <v>3.2770175999999998</v>
      </c>
      <c r="N16" s="111">
        <f t="shared" si="10"/>
        <v>0.7027199999999999</v>
      </c>
      <c r="O16" s="111" t="s">
        <v>113</v>
      </c>
      <c r="P16" s="111">
        <f t="shared" si="10"/>
        <v>5.3875199999999998E-2</v>
      </c>
      <c r="Q16" s="111">
        <f t="shared" si="10"/>
        <v>0.56451839999999998</v>
      </c>
    </row>
    <row r="17" spans="4:17" x14ac:dyDescent="0.3">
      <c r="D17" s="94" t="s">
        <v>32</v>
      </c>
      <c r="E17" s="95"/>
      <c r="F17" s="95"/>
      <c r="G17" s="95" t="s">
        <v>17</v>
      </c>
      <c r="H17" s="102">
        <f t="shared" si="8"/>
        <v>33.218160000000005</v>
      </c>
      <c r="I17" s="102">
        <f t="shared" si="9"/>
        <v>29.28</v>
      </c>
      <c r="J17" s="102">
        <f t="shared" si="9"/>
        <v>3.9381600000000003</v>
      </c>
      <c r="K17" s="102">
        <f t="shared" ref="K17:K20" si="11">L17+M17+N17+O17+P17+Q17</f>
        <v>19.109695999999996</v>
      </c>
      <c r="L17" s="111">
        <f t="shared" ref="L17:L20" si="12">L10</f>
        <v>9.5</v>
      </c>
      <c r="M17" s="111">
        <f t="shared" ref="M17:Q17" si="13">M10*1.5</f>
        <v>4.0962719999999999</v>
      </c>
      <c r="N17" s="111">
        <f t="shared" si="13"/>
        <v>0.87840000000000007</v>
      </c>
      <c r="O17" s="111">
        <f t="shared" si="13"/>
        <v>3.8620319999999992</v>
      </c>
      <c r="P17" s="111">
        <f t="shared" si="13"/>
        <v>6.7344000000000001E-2</v>
      </c>
      <c r="Q17" s="111">
        <f t="shared" si="13"/>
        <v>0.70564799999999994</v>
      </c>
    </row>
    <row r="18" spans="4:17" x14ac:dyDescent="0.3">
      <c r="D18" s="94" t="s">
        <v>33</v>
      </c>
      <c r="E18" s="95"/>
      <c r="F18" s="95"/>
      <c r="G18" s="95" t="s">
        <v>17</v>
      </c>
      <c r="H18" s="102">
        <f t="shared" si="8"/>
        <v>39.861791999999994</v>
      </c>
      <c r="I18" s="102">
        <f t="shared" si="9"/>
        <v>35.135999999999996</v>
      </c>
      <c r="J18" s="102">
        <f t="shared" si="9"/>
        <v>4.7257920000000002</v>
      </c>
      <c r="K18" s="102">
        <f t="shared" si="11"/>
        <v>21.0316352</v>
      </c>
      <c r="L18" s="111">
        <f t="shared" si="12"/>
        <v>9.5</v>
      </c>
      <c r="M18" s="111">
        <f t="shared" ref="M18:Q18" si="14">M11*1.5</f>
        <v>4.9155263999999992</v>
      </c>
      <c r="N18" s="111">
        <f t="shared" si="14"/>
        <v>1.0540799999999999</v>
      </c>
      <c r="O18" s="111">
        <f t="shared" si="14"/>
        <v>4.6344383999999996</v>
      </c>
      <c r="P18" s="111">
        <f t="shared" si="14"/>
        <v>8.081279999999999E-2</v>
      </c>
      <c r="Q18" s="111">
        <f t="shared" si="14"/>
        <v>0.84677760000000002</v>
      </c>
    </row>
    <row r="19" spans="4:17" x14ac:dyDescent="0.3">
      <c r="D19" s="94" t="s">
        <v>60</v>
      </c>
      <c r="E19" s="95"/>
      <c r="F19" s="95"/>
      <c r="G19" s="95" t="s">
        <v>17</v>
      </c>
      <c r="H19" s="102">
        <f t="shared" si="8"/>
        <v>46.505423999999998</v>
      </c>
      <c r="I19" s="102">
        <f t="shared" si="9"/>
        <v>40.991999999999997</v>
      </c>
      <c r="J19" s="102">
        <f t="shared" si="9"/>
        <v>5.5134240000000005</v>
      </c>
      <c r="K19" s="102">
        <f t="shared" si="11"/>
        <v>22.953574399999994</v>
      </c>
      <c r="L19" s="111">
        <f t="shared" si="12"/>
        <v>9.5</v>
      </c>
      <c r="M19" s="111">
        <f t="shared" ref="M19:Q19" si="15">M12*1.5</f>
        <v>5.7347808000000002</v>
      </c>
      <c r="N19" s="111">
        <f t="shared" si="15"/>
        <v>1.2297599999999997</v>
      </c>
      <c r="O19" s="111">
        <f t="shared" si="15"/>
        <v>5.4068447999999991</v>
      </c>
      <c r="P19" s="111">
        <f t="shared" si="15"/>
        <v>9.4281599999999993E-2</v>
      </c>
      <c r="Q19" s="111">
        <f t="shared" si="15"/>
        <v>0.98790719999999999</v>
      </c>
    </row>
    <row r="20" spans="4:17" x14ac:dyDescent="0.3">
      <c r="D20" s="94" t="s">
        <v>35</v>
      </c>
      <c r="E20" s="95"/>
      <c r="F20" s="95"/>
      <c r="G20" s="95" t="s">
        <v>17</v>
      </c>
      <c r="H20" s="102">
        <f t="shared" si="8"/>
        <v>55.142145599999999</v>
      </c>
      <c r="I20" s="102">
        <f t="shared" si="9"/>
        <v>48.604799999999997</v>
      </c>
      <c r="J20" s="102">
        <f t="shared" si="9"/>
        <v>6.5373456000000001</v>
      </c>
      <c r="K20" s="102">
        <f t="shared" si="11"/>
        <v>25.452095359999998</v>
      </c>
      <c r="L20" s="111">
        <f t="shared" si="12"/>
        <v>9.5</v>
      </c>
      <c r="M20" s="111">
        <f t="shared" ref="M20:Q20" si="16">M13*1.5</f>
        <v>6.7998115199999987</v>
      </c>
      <c r="N20" s="111">
        <f t="shared" si="16"/>
        <v>1.4581439999999999</v>
      </c>
      <c r="O20" s="111">
        <f t="shared" si="16"/>
        <v>6.4109731199999995</v>
      </c>
      <c r="P20" s="111">
        <f t="shared" si="16"/>
        <v>0.11179104000000001</v>
      </c>
      <c r="Q20" s="111">
        <f t="shared" si="16"/>
        <v>1.1713756799999999</v>
      </c>
    </row>
    <row r="22" spans="4:17" x14ac:dyDescent="0.3">
      <c r="D22" s="80" t="s">
        <v>124</v>
      </c>
    </row>
    <row r="23" spans="4:17" x14ac:dyDescent="0.3">
      <c r="D23" s="94" t="s">
        <v>69</v>
      </c>
    </row>
    <row r="24" spans="4:17" x14ac:dyDescent="0.3">
      <c r="D24" s="95"/>
    </row>
    <row r="25" spans="4:17" x14ac:dyDescent="0.3">
      <c r="D25" s="91" t="s">
        <v>120</v>
      </c>
    </row>
    <row r="26" spans="4:17" x14ac:dyDescent="0.3">
      <c r="D26" s="94" t="s">
        <v>117</v>
      </c>
    </row>
    <row r="27" spans="4:17" x14ac:dyDescent="0.3">
      <c r="D27" s="94" t="s">
        <v>118</v>
      </c>
    </row>
    <row r="28" spans="4:17" x14ac:dyDescent="0.3">
      <c r="D28" s="94"/>
    </row>
    <row r="29" spans="4:17" x14ac:dyDescent="0.3">
      <c r="D29" s="91" t="s">
        <v>119</v>
      </c>
    </row>
    <row r="30" spans="4:17" x14ac:dyDescent="0.3">
      <c r="D30" s="94" t="s">
        <v>27</v>
      </c>
    </row>
    <row r="31" spans="4:17" x14ac:dyDescent="0.3">
      <c r="D31" s="94" t="s">
        <v>28</v>
      </c>
    </row>
    <row r="32" spans="4:17" x14ac:dyDescent="0.3">
      <c r="D32" s="94" t="s">
        <v>29</v>
      </c>
    </row>
    <row r="34" spans="4:8" x14ac:dyDescent="0.3">
      <c r="D34" s="93" t="s">
        <v>65</v>
      </c>
    </row>
    <row r="35" spans="4:8" x14ac:dyDescent="0.3">
      <c r="D35" s="94" t="s">
        <v>126</v>
      </c>
      <c r="E35" s="94"/>
      <c r="F35" s="94"/>
      <c r="G35" s="94"/>
      <c r="H35" s="94"/>
    </row>
    <row r="36" spans="4:8" x14ac:dyDescent="0.3">
      <c r="D36" s="94" t="s">
        <v>127</v>
      </c>
      <c r="E36" s="94"/>
      <c r="F36" s="94"/>
      <c r="G36" s="94"/>
      <c r="H36" s="94"/>
    </row>
    <row r="37" spans="4:8" x14ac:dyDescent="0.3">
      <c r="D37" s="94" t="s">
        <v>128</v>
      </c>
      <c r="E37" s="94"/>
      <c r="F37" s="94"/>
      <c r="G37" s="94"/>
      <c r="H37" s="94"/>
    </row>
    <row r="38" spans="4:8" x14ac:dyDescent="0.3">
      <c r="D38" s="94" t="s">
        <v>130</v>
      </c>
    </row>
    <row r="39" spans="4:8" x14ac:dyDescent="0.3">
      <c r="D39" s="94" t="s">
        <v>129</v>
      </c>
    </row>
    <row r="40" spans="4:8" x14ac:dyDescent="0.3">
      <c r="D40" s="94"/>
    </row>
    <row r="41" spans="4:8" x14ac:dyDescent="0.3">
      <c r="D41" s="91" t="s">
        <v>116</v>
      </c>
    </row>
    <row r="42" spans="4:8" x14ac:dyDescent="0.3">
      <c r="D42" s="94" t="s">
        <v>107</v>
      </c>
    </row>
    <row r="43" spans="4:8" x14ac:dyDescent="0.3">
      <c r="D43" s="76" t="s">
        <v>108</v>
      </c>
    </row>
  </sheetData>
  <sheetProtection selectLockedCells="1" selectUnlockedCells="1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15</vt:i4>
      </vt:variant>
    </vt:vector>
  </HeadingPairs>
  <TitlesOfParts>
    <vt:vector size="33" baseType="lpstr">
      <vt:lpstr>From union</vt:lpstr>
      <vt:lpstr> October 2011</vt:lpstr>
      <vt:lpstr>2011 Apprentice</vt:lpstr>
      <vt:lpstr>2011 temp calcs</vt:lpstr>
      <vt:lpstr>May 1 2016</vt:lpstr>
      <vt:lpstr>2016 calcs</vt:lpstr>
      <vt:lpstr>May 1 2017</vt:lpstr>
      <vt:lpstr>2017 calcs </vt:lpstr>
      <vt:lpstr>Apprentice 2016</vt:lpstr>
      <vt:lpstr>Apprentice 2017</vt:lpstr>
      <vt:lpstr>2021 calcs </vt:lpstr>
      <vt:lpstr>May 1 2021</vt:lpstr>
      <vt:lpstr>Apprentice 2021</vt:lpstr>
      <vt:lpstr>2024 calcs</vt:lpstr>
      <vt:lpstr>May 6 2024</vt:lpstr>
      <vt:lpstr>Apprentice 5-6 2024</vt:lpstr>
      <vt:lpstr>May 1 2020</vt:lpstr>
      <vt:lpstr>2015 calcs</vt:lpstr>
      <vt:lpstr>'Apprentice 5-6 2024'!AnnSub</vt:lpstr>
      <vt:lpstr>AnnSub</vt:lpstr>
      <vt:lpstr>'Apprentice 5-6 2024'!JATC</vt:lpstr>
      <vt:lpstr>JATC</vt:lpstr>
      <vt:lpstr>'Apprentice 5-6 2024'!LMCC</vt:lpstr>
      <vt:lpstr>LMCC</vt:lpstr>
      <vt:lpstr>'Apprentice 5-6 2024'!LocPen</vt:lpstr>
      <vt:lpstr>LocPen</vt:lpstr>
      <vt:lpstr>'Apprentice 5-6 2024'!NBEF</vt:lpstr>
      <vt:lpstr>NBEF</vt:lpstr>
      <vt:lpstr>'Apprentice 5-6 2024'!NLMCC</vt:lpstr>
      <vt:lpstr>NLMCC</vt:lpstr>
      <vt:lpstr>'Apprentice 5-6 2024'!PerSavings</vt:lpstr>
      <vt:lpstr>PerSavings</vt:lpstr>
      <vt:lpstr>'From union'!Print_Area</vt:lpstr>
    </vt:vector>
  </TitlesOfParts>
  <Company>City of Minneapolis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Nelmspk0</dc:creator>
  <cp:lastModifiedBy>Lisa Cunningham</cp:lastModifiedBy>
  <cp:lastPrinted>2016-04-20T17:42:45Z</cp:lastPrinted>
  <dcterms:created xsi:type="dcterms:W3CDTF">2005-12-08T17:02:13Z</dcterms:created>
  <dcterms:modified xsi:type="dcterms:W3CDTF">2024-12-06T16:39:02Z</dcterms:modified>
</cp:coreProperties>
</file>