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threadedComments/threadedComment1.xml" ContentType="application/vnd.ms-excel.threaded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codeName="ThisWorkbook" defaultThemeVersion="124226"/>
  <mc:AlternateContent xmlns:mc="http://schemas.openxmlformats.org/markup-compatibility/2006">
    <mc:Choice Requires="x15">
      <x15ac:absPath xmlns:x15ac="http://schemas.microsoft.com/office/spreadsheetml/2010/11/ac" url="https://minneapolismngov-my.sharepoint.com/personal/erick_howatt_minneapolismn_gov/Documents/Desktop/Salary Schedules for Deb/"/>
    </mc:Choice>
  </mc:AlternateContent>
  <xr:revisionPtr revIDLastSave="16" documentId="14_{64197CEB-00FF-48F9-B676-C7BBBBB56F42}" xr6:coauthVersionLast="47" xr6:coauthVersionMax="47" xr10:uidLastSave="{22379B4B-4223-4257-AA8E-D5D1253D0DCB}"/>
  <workbookProtection lockStructure="1"/>
  <bookViews>
    <workbookView xWindow="-120" yWindow="-120" windowWidth="29040" windowHeight="15840" firstSheet="12" activeTab="12" xr2:uid="{00000000-000D-0000-FFFF-FFFF00000000}"/>
  </bookViews>
  <sheets>
    <sheet name="CLB 12 31 2017 999999" sheetId="1" state="hidden" r:id="rId1"/>
    <sheet name="Sal grade Query eff 82018" sheetId="7" state="hidden" r:id="rId2"/>
    <sheet name="1 1 2018" sheetId="2" state="hidden" r:id="rId3"/>
    <sheet name="1 1 2019" sheetId="3" state="hidden" r:id="rId4"/>
    <sheet name="7 1 2019" sheetId="9" state="hidden" r:id="rId5"/>
    <sheet name="1 1 2020" sheetId="4" state="hidden" r:id="rId6"/>
    <sheet name="7 1 2020" sheetId="10" state="hidden" r:id="rId7"/>
    <sheet name="1 1 2021" sheetId="12" state="hidden" r:id="rId8"/>
    <sheet name="7 1 2021" sheetId="13" state="hidden" r:id="rId9"/>
    <sheet name="1 1 2022" sheetId="15" state="hidden" r:id="rId10"/>
    <sheet name="Compare to PWSW2 Apprentice" sheetId="25" state="hidden" r:id="rId11"/>
    <sheet name="1 1 2023" sheetId="16" state="hidden" r:id="rId12"/>
    <sheet name="1 1 2024" sheetId="19" r:id="rId13"/>
    <sheet name="1 1 2025" sheetId="20" r:id="rId14"/>
    <sheet name="1 1 2026" sheetId="21" r:id="rId15"/>
    <sheet name="Notes" sheetId="8" state="hidden" r:id="rId16"/>
    <sheet name="Union Rep Rate" sheetId="11" state="hidden" r:id="rId17"/>
  </sheets>
  <externalReferences>
    <externalReference r:id="rId18"/>
  </externalReferences>
  <definedNames>
    <definedName name="_xlnm._FilterDatabase" localSheetId="3" hidden="1">'1 1 2019'!$A$5:$AR$53</definedName>
    <definedName name="_xlnm._FilterDatabase" localSheetId="7" hidden="1">'1 1 2021'!$A$5:$AD$54</definedName>
    <definedName name="_xlnm._FilterDatabase" localSheetId="9" hidden="1">'1 1 2022'!$A$7:$AD$56</definedName>
    <definedName name="_xlnm._FilterDatabase" localSheetId="11" hidden="1">'1 1 2023'!$A$7:$AA$57</definedName>
    <definedName name="_xlnm._FilterDatabase" localSheetId="12" hidden="1">'1 1 2024'!$A$10:$AK$58</definedName>
    <definedName name="_xlnm._FilterDatabase" localSheetId="13" hidden="1">'1 1 2025'!$O$9:$AT$9</definedName>
    <definedName name="_xlnm._FilterDatabase" localSheetId="14" hidden="1">'1 1 2026'!$A$9:$AS$9</definedName>
    <definedName name="_xlnm._FilterDatabase" localSheetId="4" hidden="1">'7 1 2019'!$A$5:$AR$53</definedName>
    <definedName name="_xlnm._FilterDatabase" localSheetId="6" hidden="1">'7 1 2020'!$A$5:$AD$54</definedName>
    <definedName name="_xlnm._FilterDatabase" localSheetId="8" hidden="1">'7 1 2021'!$A$5:$AD$54</definedName>
    <definedName name="A" localSheetId="0">'[1]2001'!#REF!</definedName>
    <definedName name="B" localSheetId="0">'[1]2001'!#REF!</definedName>
    <definedName name="C_" localSheetId="0">'[1]2001'!#REF!</definedName>
    <definedName name="COLA2024">'Compare to PWSW2 Apprentice'!$B$17</definedName>
    <definedName name="COLA2025">'Compare to PWSW2 Apprentice'!$B$18</definedName>
    <definedName name="COLA2026">'Compare to PWSW2 Apprentice'!$B$19</definedName>
    <definedName name="Equity2024">'Compare to PWSW2 Apprentice'!$C$17</definedName>
    <definedName name="IntEquity2024">'1 1 2024'!#REF!</definedName>
    <definedName name="IntEquityAdj2024">'1 1 2024'!#REF!</definedName>
    <definedName name="Jobs">'1 1 2023'!$Q$7:$Y$55</definedName>
    <definedName name="LIUNA">'Compare to PWSW2 Apprentice'!$A$13</definedName>
    <definedName name="LIUNA2020">'1 1 2020'!$Q$2</definedName>
    <definedName name="LIUNA2021">'1 1 2021'!$Q$2</definedName>
    <definedName name="LIUNA2022">'1 1 2022'!$Q$2</definedName>
    <definedName name="LIUNA2023">'1 1 2023'!$Q$2</definedName>
    <definedName name="LIUNA2024">'1 1 2024'!#REF!</definedName>
    <definedName name="LIUNA2025">'1 1 2025'!#REF!</definedName>
    <definedName name="MarketAdj2024">'Compare to PWSW2 Apprentice'!$D$17</definedName>
    <definedName name="MktAdj2024">'1 1 2024'!#REF!</definedName>
    <definedName name="MktAdj2026">'1 1 2026'!#REF!</definedName>
    <definedName name="PercIncr2019">'1 1 2019'!$S$1</definedName>
    <definedName name="PercIncr2020">'1 1 2020'!$Q$1</definedName>
    <definedName name="PercIncr2021">'1 1 2021'!$Q$1</definedName>
    <definedName name="PercIncr2022">'1 1 2022'!$Q$1</definedName>
    <definedName name="PercIncr2023">'1 1 2023'!$Q$1</definedName>
    <definedName name="PercIncr2024">'1 1 2024'!#REF!</definedName>
    <definedName name="PercIncr2025">'1 1 2025'!#REF!</definedName>
    <definedName name="PercIncr2026">'1 1 2026'!#REF!</definedName>
    <definedName name="PremRates2024">'1 1 2024'!$Z$3:$AA$174</definedName>
    <definedName name="PremRates2025">'1 1 2025'!$V:$W</definedName>
    <definedName name="_xlnm.Print_Area" localSheetId="0">'CLB 12 31 2017 999999'!$A$1:$O$153</definedName>
    <definedName name="Print_Area_MI" localSheetId="0">'[1]2001'!#REF!</definedName>
    <definedName name="_xlnm.Print_Titles" localSheetId="0">'CLB 12 31 2017 999999'!$5:$6</definedName>
    <definedName name="PSWSIMktAdj">'1 1 2024'!#REF!</definedName>
    <definedName name="PWSWIAdj2024">'Compare to PWSW2 Apprentice'!$F$17</definedName>
    <definedName name="PWSWIIncr2024">'1 1 2024'!#REF!</definedName>
    <definedName name="PWSWIIncr2025">'1 1 2025'!#REF!</definedName>
    <definedName name="PWSWIIncr2026">'1 1 2026'!#REF!</definedName>
    <definedName name="PWSWIJC">'Compare to PWSW2 Apprentice'!$A$1</definedName>
    <definedName name="Rates2019">'1 1 2019'!$P$5:$X$131</definedName>
    <definedName name="Rates2020">'1 1 2020'!$Q$6:$Y$156</definedName>
    <definedName name="Rates2021">'1 1 2021'!$Q$6:$Y$156</definedName>
    <definedName name="Rates2022">'1 1 2022'!$Q:$Y</definedName>
    <definedName name="Rates2023">'1 1 2023'!$Q$7:$Z$197</definedName>
    <definedName name="Rates2024">'1 1 2024'!$O$10:$AA$175</definedName>
    <definedName name="Rates2025">'1 1 2025'!$O$9:$X$58</definedName>
    <definedName name="Rates2026">'1 1 2026'!$O$9:$X$135</definedName>
    <definedName name="Year2018">'1 1 2018'!$G$5:$O$51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3" i="20" l="1"/>
  <c r="R53" i="21" s="1"/>
  <c r="U25" i="19"/>
  <c r="T25" i="19"/>
  <c r="S25" i="19"/>
  <c r="R25" i="19"/>
  <c r="A6" i="21" l="1"/>
  <c r="A6" i="20"/>
  <c r="Z10" i="21"/>
  <c r="Z11" i="21"/>
  <c r="Z12" i="21"/>
  <c r="Z13" i="21"/>
  <c r="Z14" i="21"/>
  <c r="Z15" i="21"/>
  <c r="Z16" i="21"/>
  <c r="Z17" i="21"/>
  <c r="Z18" i="21"/>
  <c r="Z19" i="21"/>
  <c r="Z20" i="21"/>
  <c r="Z21" i="21"/>
  <c r="Z22" i="21"/>
  <c r="Z23" i="21"/>
  <c r="Z24" i="21"/>
  <c r="Z25" i="21"/>
  <c r="Z26" i="21"/>
  <c r="Z27" i="21"/>
  <c r="Z28" i="21"/>
  <c r="Z29" i="21"/>
  <c r="Z30" i="21"/>
  <c r="Z31" i="21"/>
  <c r="Z32" i="21"/>
  <c r="Z33" i="21"/>
  <c r="Z34" i="21"/>
  <c r="Z35" i="21"/>
  <c r="Z36" i="21"/>
  <c r="Z37" i="21"/>
  <c r="Z38" i="21"/>
  <c r="Z39" i="21"/>
  <c r="Z40" i="21"/>
  <c r="Z41" i="21"/>
  <c r="Z42" i="21"/>
  <c r="Z43" i="21"/>
  <c r="Z44" i="21"/>
  <c r="Z45" i="21"/>
  <c r="Z46" i="21"/>
  <c r="Z47" i="21"/>
  <c r="Z48" i="21"/>
  <c r="Z49" i="21"/>
  <c r="Z50" i="21"/>
  <c r="Z51" i="21"/>
  <c r="Z52" i="21"/>
  <c r="Z53" i="21"/>
  <c r="Z54" i="21"/>
  <c r="Z55" i="21"/>
  <c r="Z56" i="21"/>
  <c r="Z57" i="21"/>
  <c r="O148" i="19"/>
  <c r="A101" i="19" l="1"/>
  <c r="J106" i="21"/>
  <c r="A73" i="21"/>
  <c r="A154" i="21"/>
  <c r="A150" i="21"/>
  <c r="A142" i="21"/>
  <c r="A100" i="21"/>
  <c r="A96" i="21"/>
  <c r="A91" i="21"/>
  <c r="A88" i="21"/>
  <c r="A155" i="20"/>
  <c r="A151" i="20"/>
  <c r="A143" i="20"/>
  <c r="E106" i="20"/>
  <c r="R106" i="20"/>
  <c r="F106" i="20" s="1"/>
  <c r="R105" i="20"/>
  <c r="F105" i="20" s="1"/>
  <c r="A100" i="20"/>
  <c r="A96" i="20"/>
  <c r="A91" i="20"/>
  <c r="A88" i="20"/>
  <c r="C79" i="20"/>
  <c r="C80" i="20"/>
  <c r="C81" i="20"/>
  <c r="C78" i="20"/>
  <c r="A73" i="20"/>
  <c r="A156" i="19"/>
  <c r="A152" i="19"/>
  <c r="A144" i="19"/>
  <c r="I107" i="19"/>
  <c r="A97" i="19"/>
  <c r="A92" i="19"/>
  <c r="A89" i="19"/>
  <c r="A74" i="19"/>
  <c r="C80" i="19"/>
  <c r="C81" i="19"/>
  <c r="C82" i="19"/>
  <c r="C79" i="19"/>
  <c r="S8" i="21"/>
  <c r="T8" i="21" s="1"/>
  <c r="U8" i="21" s="1"/>
  <c r="V8" i="21" s="1"/>
  <c r="W8" i="21" s="1"/>
  <c r="X8" i="21" s="1"/>
  <c r="R30" i="20" l="1"/>
  <c r="R31" i="20"/>
  <c r="R34" i="20"/>
  <c r="R35" i="20"/>
  <c r="R57" i="20"/>
  <c r="R56" i="20"/>
  <c r="R55" i="20"/>
  <c r="R54" i="20"/>
  <c r="R11" i="20"/>
  <c r="R12" i="20"/>
  <c r="R13" i="20"/>
  <c r="R14" i="20"/>
  <c r="R15" i="20"/>
  <c r="R16" i="20"/>
  <c r="R17" i="20"/>
  <c r="R18" i="20"/>
  <c r="R19" i="20"/>
  <c r="R20" i="20"/>
  <c r="R21" i="20"/>
  <c r="R22" i="20"/>
  <c r="R23" i="20"/>
  <c r="R24" i="20"/>
  <c r="R25" i="20"/>
  <c r="R26" i="20"/>
  <c r="R27" i="20"/>
  <c r="R28" i="20"/>
  <c r="R29" i="20"/>
  <c r="R32" i="20"/>
  <c r="R33" i="20"/>
  <c r="R36" i="20"/>
  <c r="R37" i="20"/>
  <c r="R38" i="20"/>
  <c r="R39" i="20"/>
  <c r="R40" i="20"/>
  <c r="R41" i="20"/>
  <c r="R42" i="20"/>
  <c r="R43" i="20"/>
  <c r="R44" i="20"/>
  <c r="R45" i="20"/>
  <c r="R46" i="20"/>
  <c r="R47" i="20"/>
  <c r="R48" i="20"/>
  <c r="R49" i="20"/>
  <c r="R50" i="20"/>
  <c r="R51" i="20"/>
  <c r="R52" i="20"/>
  <c r="R10" i="20"/>
  <c r="S8" i="20"/>
  <c r="S11" i="20" s="1"/>
  <c r="AC53" i="21"/>
  <c r="H53" i="21" s="1"/>
  <c r="AC53" i="20"/>
  <c r="H53" i="20" s="1"/>
  <c r="AC54" i="19"/>
  <c r="H54" i="19" s="1"/>
  <c r="AD47" i="19"/>
  <c r="I47" i="19" s="1"/>
  <c r="AC47" i="19"/>
  <c r="H47" i="19" s="1"/>
  <c r="AH45" i="19"/>
  <c r="M45" i="19" s="1"/>
  <c r="AD55" i="19"/>
  <c r="I55" i="19" s="1"/>
  <c r="AE55" i="19"/>
  <c r="J55" i="19" s="1"/>
  <c r="AF55" i="19"/>
  <c r="K55" i="19" s="1"/>
  <c r="AD56" i="19"/>
  <c r="I56" i="19" s="1"/>
  <c r="AE56" i="19"/>
  <c r="J56" i="19" s="1"/>
  <c r="AF56" i="19"/>
  <c r="K56" i="19" s="1"/>
  <c r="AD57" i="19"/>
  <c r="I57" i="19" s="1"/>
  <c r="AE57" i="19"/>
  <c r="J57" i="19" s="1"/>
  <c r="AF57" i="19"/>
  <c r="K57" i="19" s="1"/>
  <c r="AD58" i="19"/>
  <c r="I58" i="19" s="1"/>
  <c r="AE58" i="19"/>
  <c r="J58" i="19" s="1"/>
  <c r="AF58" i="19"/>
  <c r="K58" i="19" s="1"/>
  <c r="AD53" i="19"/>
  <c r="I53" i="19" s="1"/>
  <c r="AE53" i="19"/>
  <c r="J53" i="19" s="1"/>
  <c r="AF53" i="19"/>
  <c r="K53" i="19" s="1"/>
  <c r="AG53" i="19"/>
  <c r="L53" i="19" s="1"/>
  <c r="AH53" i="19"/>
  <c r="M53" i="19" s="1"/>
  <c r="AD52" i="19"/>
  <c r="I52" i="19" s="1"/>
  <c r="AE52" i="19"/>
  <c r="J52" i="19" s="1"/>
  <c r="AF52" i="19"/>
  <c r="K52" i="19" s="1"/>
  <c r="AG52" i="19"/>
  <c r="L52" i="19" s="1"/>
  <c r="AH52" i="19"/>
  <c r="M52" i="19" s="1"/>
  <c r="AI52" i="19"/>
  <c r="N52" i="19" s="1"/>
  <c r="AD51" i="19"/>
  <c r="I51" i="19" s="1"/>
  <c r="AE51" i="19"/>
  <c r="J51" i="19" s="1"/>
  <c r="AF49" i="19"/>
  <c r="K49" i="19" s="1"/>
  <c r="AE48" i="19"/>
  <c r="J48" i="19" s="1"/>
  <c r="AE49" i="19"/>
  <c r="J49" i="19" s="1"/>
  <c r="AD48" i="19"/>
  <c r="I48" i="19" s="1"/>
  <c r="AD49" i="19"/>
  <c r="I49" i="19" s="1"/>
  <c r="AD45" i="19"/>
  <c r="I45" i="19" s="1"/>
  <c r="AE45" i="19"/>
  <c r="J45" i="19" s="1"/>
  <c r="AF45" i="19"/>
  <c r="K45" i="19" s="1"/>
  <c r="AG45" i="19"/>
  <c r="L45" i="19" s="1"/>
  <c r="AF46" i="19"/>
  <c r="K46" i="19" s="1"/>
  <c r="AE46" i="19"/>
  <c r="J46" i="19" s="1"/>
  <c r="AD46" i="19"/>
  <c r="I46" i="19" s="1"/>
  <c r="AC46" i="19"/>
  <c r="H46" i="19" s="1"/>
  <c r="AF37" i="19"/>
  <c r="K37" i="19" s="1"/>
  <c r="AE37" i="19"/>
  <c r="J37" i="19" s="1"/>
  <c r="AD37" i="19"/>
  <c r="I37" i="19" s="1"/>
  <c r="AC37" i="19"/>
  <c r="H37" i="19" s="1"/>
  <c r="AF36" i="19"/>
  <c r="K36" i="19" s="1"/>
  <c r="AE36" i="19"/>
  <c r="J36" i="19" s="1"/>
  <c r="AD36" i="19"/>
  <c r="I36" i="19" s="1"/>
  <c r="AC36" i="19"/>
  <c r="H36" i="19" s="1"/>
  <c r="AF35" i="19"/>
  <c r="K35" i="19" s="1"/>
  <c r="AE35" i="19"/>
  <c r="J35" i="19" s="1"/>
  <c r="AD35" i="19"/>
  <c r="I35" i="19" s="1"/>
  <c r="AC35" i="19"/>
  <c r="H35" i="19" s="1"/>
  <c r="AF33" i="19"/>
  <c r="K33" i="19" s="1"/>
  <c r="AE33" i="19"/>
  <c r="J33" i="19" s="1"/>
  <c r="AD33" i="19"/>
  <c r="I33" i="19" s="1"/>
  <c r="AC33" i="19"/>
  <c r="H33" i="19" s="1"/>
  <c r="AF32" i="19"/>
  <c r="K32" i="19" s="1"/>
  <c r="AE32" i="19"/>
  <c r="J32" i="19" s="1"/>
  <c r="AD32" i="19"/>
  <c r="I32" i="19" s="1"/>
  <c r="AC32" i="19"/>
  <c r="H32" i="19" s="1"/>
  <c r="AF31" i="19"/>
  <c r="K31" i="19" s="1"/>
  <c r="AE31" i="19"/>
  <c r="J31" i="19" s="1"/>
  <c r="AD31" i="19"/>
  <c r="I31" i="19" s="1"/>
  <c r="AC31" i="19"/>
  <c r="H31" i="19" s="1"/>
  <c r="AF29" i="19"/>
  <c r="K29" i="19" s="1"/>
  <c r="AE29" i="19"/>
  <c r="J29" i="19" s="1"/>
  <c r="AD29" i="19"/>
  <c r="I29" i="19" s="1"/>
  <c r="AC29" i="19"/>
  <c r="H29" i="19" s="1"/>
  <c r="AF28" i="19"/>
  <c r="K28" i="19" s="1"/>
  <c r="AE28" i="19"/>
  <c r="J28" i="19" s="1"/>
  <c r="AD28" i="19"/>
  <c r="I28" i="19" s="1"/>
  <c r="AC28" i="19"/>
  <c r="H28" i="19" s="1"/>
  <c r="AC25" i="19"/>
  <c r="H25" i="19" s="1"/>
  <c r="AD25" i="19"/>
  <c r="I25" i="19" s="1"/>
  <c r="AE25" i="19"/>
  <c r="J25" i="19" s="1"/>
  <c r="AF25" i="19"/>
  <c r="K25" i="19" s="1"/>
  <c r="AC26" i="19"/>
  <c r="H26" i="19" s="1"/>
  <c r="AD26" i="19"/>
  <c r="I26" i="19" s="1"/>
  <c r="AE26" i="19"/>
  <c r="J26" i="19" s="1"/>
  <c r="AF26" i="19"/>
  <c r="K26" i="19" s="1"/>
  <c r="AD24" i="19"/>
  <c r="I24" i="19" s="1"/>
  <c r="AE24" i="19"/>
  <c r="J24" i="19" s="1"/>
  <c r="AF24" i="19"/>
  <c r="K24" i="19" s="1"/>
  <c r="AE23" i="19"/>
  <c r="J23" i="19" s="1"/>
  <c r="AD23" i="19"/>
  <c r="I23" i="19" s="1"/>
  <c r="AC23" i="19"/>
  <c r="H23" i="19" s="1"/>
  <c r="AE22" i="19"/>
  <c r="J22" i="19" s="1"/>
  <c r="AD22" i="19"/>
  <c r="I22" i="19" s="1"/>
  <c r="AC22" i="19"/>
  <c r="H22" i="19" s="1"/>
  <c r="AD20" i="19"/>
  <c r="I20" i="19" s="1"/>
  <c r="AE20" i="19"/>
  <c r="J20" i="19" s="1"/>
  <c r="AD12" i="19"/>
  <c r="I12" i="19" s="1"/>
  <c r="AE12" i="19"/>
  <c r="J12" i="19" s="1"/>
  <c r="AF12" i="19"/>
  <c r="K12" i="19" s="1"/>
  <c r="AD13" i="19"/>
  <c r="I13" i="19" s="1"/>
  <c r="AE13" i="19"/>
  <c r="J13" i="19" s="1"/>
  <c r="AF13" i="19"/>
  <c r="K13" i="19" s="1"/>
  <c r="AD14" i="19"/>
  <c r="I14" i="19" s="1"/>
  <c r="AE14" i="19"/>
  <c r="J14" i="19" s="1"/>
  <c r="AF14" i="19"/>
  <c r="K14" i="19" s="1"/>
  <c r="AD15" i="19"/>
  <c r="I15" i="19" s="1"/>
  <c r="AE15" i="19"/>
  <c r="J15" i="19" s="1"/>
  <c r="AF15" i="19"/>
  <c r="K15" i="19" s="1"/>
  <c r="AD16" i="19"/>
  <c r="I16" i="19" s="1"/>
  <c r="AE16" i="19"/>
  <c r="J16" i="19" s="1"/>
  <c r="AF16" i="19"/>
  <c r="K16" i="19" s="1"/>
  <c r="AD17" i="19"/>
  <c r="I17" i="19" s="1"/>
  <c r="AE17" i="19"/>
  <c r="J17" i="19" s="1"/>
  <c r="AF17" i="19"/>
  <c r="K17" i="19" s="1"/>
  <c r="AD18" i="19"/>
  <c r="I18" i="19" s="1"/>
  <c r="AE18" i="19"/>
  <c r="J18" i="19" s="1"/>
  <c r="AF18" i="19"/>
  <c r="K18" i="19" s="1"/>
  <c r="AC12" i="19"/>
  <c r="H12" i="19" s="1"/>
  <c r="AC13" i="19"/>
  <c r="H13" i="19" s="1"/>
  <c r="AC14" i="19"/>
  <c r="H14" i="19" s="1"/>
  <c r="AC15" i="19"/>
  <c r="H15" i="19" s="1"/>
  <c r="AC16" i="19"/>
  <c r="H16" i="19" s="1"/>
  <c r="AC17" i="19"/>
  <c r="H17" i="19" s="1"/>
  <c r="AC18" i="19"/>
  <c r="H18" i="19" s="1"/>
  <c r="AC19" i="19"/>
  <c r="H19" i="19" s="1"/>
  <c r="AC20" i="19"/>
  <c r="H20" i="19" s="1"/>
  <c r="AC21" i="19"/>
  <c r="H21" i="19" s="1"/>
  <c r="AC24" i="19"/>
  <c r="H24" i="19" s="1"/>
  <c r="AC27" i="19"/>
  <c r="H27" i="19" s="1"/>
  <c r="AC30" i="19"/>
  <c r="H30" i="19" s="1"/>
  <c r="AC34" i="19"/>
  <c r="H34" i="19" s="1"/>
  <c r="AC38" i="19"/>
  <c r="H38" i="19" s="1"/>
  <c r="AC39" i="19"/>
  <c r="H39" i="19" s="1"/>
  <c r="AC40" i="19"/>
  <c r="H40" i="19" s="1"/>
  <c r="AC41" i="19"/>
  <c r="H41" i="19" s="1"/>
  <c r="AC42" i="19"/>
  <c r="H42" i="19" s="1"/>
  <c r="AC43" i="19"/>
  <c r="H43" i="19" s="1"/>
  <c r="AC44" i="19"/>
  <c r="H44" i="19" s="1"/>
  <c r="AC45" i="19"/>
  <c r="H45" i="19" s="1"/>
  <c r="AC48" i="19"/>
  <c r="H48" i="19" s="1"/>
  <c r="AC49" i="19"/>
  <c r="H49" i="19" s="1"/>
  <c r="AC50" i="19"/>
  <c r="H50" i="19" s="1"/>
  <c r="AC51" i="19"/>
  <c r="H51" i="19" s="1"/>
  <c r="AC52" i="19"/>
  <c r="H52" i="19" s="1"/>
  <c r="AC53" i="19"/>
  <c r="H53" i="19" s="1"/>
  <c r="AC55" i="19"/>
  <c r="H55" i="19" s="1"/>
  <c r="AC56" i="19"/>
  <c r="H56" i="19" s="1"/>
  <c r="AC57" i="19"/>
  <c r="H57" i="19" s="1"/>
  <c r="AC58" i="19"/>
  <c r="H58" i="19" s="1"/>
  <c r="AC11" i="19"/>
  <c r="H11" i="19" s="1"/>
  <c r="AC12" i="20" l="1"/>
  <c r="H12" i="20" s="1"/>
  <c r="AC51" i="20"/>
  <c r="H51" i="20" s="1"/>
  <c r="AC23" i="20"/>
  <c r="H23" i="20" s="1"/>
  <c r="AC11" i="20"/>
  <c r="H11" i="20" s="1"/>
  <c r="R42" i="21"/>
  <c r="AC24" i="20"/>
  <c r="H24" i="20" s="1"/>
  <c r="AC50" i="20"/>
  <c r="H50" i="20" s="1"/>
  <c r="AC22" i="20"/>
  <c r="H22" i="20" s="1"/>
  <c r="AC54" i="20"/>
  <c r="H54" i="20" s="1"/>
  <c r="AD11" i="20"/>
  <c r="I11" i="20" s="1"/>
  <c r="AC21" i="20"/>
  <c r="H21" i="20" s="1"/>
  <c r="AC55" i="20"/>
  <c r="H55" i="20" s="1"/>
  <c r="AC14" i="20"/>
  <c r="H14" i="20" s="1"/>
  <c r="AC48" i="20"/>
  <c r="H48" i="20" s="1"/>
  <c r="AC36" i="20"/>
  <c r="H36" i="20" s="1"/>
  <c r="AC56" i="20"/>
  <c r="H56" i="20" s="1"/>
  <c r="AC13" i="20"/>
  <c r="H13" i="20" s="1"/>
  <c r="AC47" i="20"/>
  <c r="H47" i="20" s="1"/>
  <c r="AC19" i="20"/>
  <c r="H19" i="20" s="1"/>
  <c r="AC57" i="20"/>
  <c r="H57" i="20" s="1"/>
  <c r="AC32" i="20"/>
  <c r="H32" i="20" s="1"/>
  <c r="R18" i="21"/>
  <c r="AC35" i="20"/>
  <c r="H35" i="20" s="1"/>
  <c r="AC45" i="20"/>
  <c r="H45" i="20" s="1"/>
  <c r="R29" i="21"/>
  <c r="AC17" i="20"/>
  <c r="H17" i="20" s="1"/>
  <c r="AC34" i="20"/>
  <c r="H34" i="20" s="1"/>
  <c r="AC52" i="20"/>
  <c r="H52" i="20" s="1"/>
  <c r="AC44" i="20"/>
  <c r="H44" i="20" s="1"/>
  <c r="AC28" i="20"/>
  <c r="H28" i="20" s="1"/>
  <c r="AC16" i="20"/>
  <c r="H16" i="20" s="1"/>
  <c r="AC31" i="20"/>
  <c r="H31" i="20" s="1"/>
  <c r="AC25" i="20"/>
  <c r="H25" i="20" s="1"/>
  <c r="AC27" i="20"/>
  <c r="H27" i="20" s="1"/>
  <c r="AC15" i="20"/>
  <c r="H15" i="20" s="1"/>
  <c r="AC30" i="20"/>
  <c r="H30" i="20" s="1"/>
  <c r="T8" i="20"/>
  <c r="T56" i="20" s="1"/>
  <c r="AC42" i="20"/>
  <c r="H42" i="20" s="1"/>
  <c r="AC18" i="20"/>
  <c r="H18" i="20" s="1"/>
  <c r="AC29" i="20"/>
  <c r="H29" i="20" s="1"/>
  <c r="S27" i="20"/>
  <c r="AC39" i="20"/>
  <c r="H39" i="20" s="1"/>
  <c r="R39" i="21"/>
  <c r="AC49" i="20"/>
  <c r="H49" i="20" s="1"/>
  <c r="R49" i="21"/>
  <c r="AC37" i="20"/>
  <c r="H37" i="20" s="1"/>
  <c r="R37" i="21"/>
  <c r="AC20" i="20"/>
  <c r="H20" i="20" s="1"/>
  <c r="R20" i="21"/>
  <c r="S32" i="20"/>
  <c r="S22" i="20"/>
  <c r="AC46" i="20"/>
  <c r="H46" i="20" s="1"/>
  <c r="R46" i="21"/>
  <c r="AC33" i="20"/>
  <c r="H33" i="20" s="1"/>
  <c r="R33" i="21"/>
  <c r="S47" i="20"/>
  <c r="S46" i="20"/>
  <c r="T31" i="20"/>
  <c r="AC38" i="20"/>
  <c r="H38" i="20" s="1"/>
  <c r="R38" i="21"/>
  <c r="S56" i="20"/>
  <c r="AC43" i="20"/>
  <c r="H43" i="20" s="1"/>
  <c r="R43" i="21"/>
  <c r="S15" i="20"/>
  <c r="S30" i="20"/>
  <c r="AC10" i="20"/>
  <c r="H10" i="20" s="1"/>
  <c r="R10" i="21"/>
  <c r="AC41" i="20"/>
  <c r="H41" i="20" s="1"/>
  <c r="R41" i="21"/>
  <c r="AC26" i="20"/>
  <c r="H26" i="20" s="1"/>
  <c r="R26" i="21"/>
  <c r="S54" i="20"/>
  <c r="S36" i="20"/>
  <c r="AC40" i="20"/>
  <c r="H40" i="20" s="1"/>
  <c r="R40" i="21"/>
  <c r="S31" i="20"/>
  <c r="S21" i="20"/>
  <c r="S55" i="20"/>
  <c r="S35" i="20"/>
  <c r="S45" i="20"/>
  <c r="S25" i="20"/>
  <c r="S19" i="20"/>
  <c r="S14" i="20"/>
  <c r="S52" i="20"/>
  <c r="S50" i="20"/>
  <c r="S34" i="20"/>
  <c r="S24" i="20"/>
  <c r="S17" i="20"/>
  <c r="S13" i="20"/>
  <c r="S51" i="20"/>
  <c r="S57" i="20"/>
  <c r="T48" i="20"/>
  <c r="S44" i="20"/>
  <c r="T12" i="20"/>
  <c r="S48" i="20"/>
  <c r="S28" i="20"/>
  <c r="S23" i="20"/>
  <c r="S16" i="20"/>
  <c r="S12" i="20"/>
  <c r="R47" i="21"/>
  <c r="R22" i="21"/>
  <c r="AA11" i="21"/>
  <c r="AB11" i="21"/>
  <c r="AA12" i="21"/>
  <c r="AB12" i="21"/>
  <c r="AA13" i="21"/>
  <c r="AB13" i="21"/>
  <c r="AA14" i="21"/>
  <c r="AB14" i="21"/>
  <c r="AA15" i="21"/>
  <c r="AB15" i="21"/>
  <c r="AA16" i="21"/>
  <c r="AB16" i="21"/>
  <c r="AA17" i="21"/>
  <c r="AB17" i="21"/>
  <c r="AA18" i="21"/>
  <c r="AB18" i="21"/>
  <c r="AA19" i="21"/>
  <c r="AB19" i="21"/>
  <c r="AA20" i="21"/>
  <c r="AB20" i="21"/>
  <c r="AA21" i="21"/>
  <c r="AB21" i="21"/>
  <c r="AA22" i="21"/>
  <c r="AB22" i="21"/>
  <c r="AA23" i="21"/>
  <c r="AB23" i="21"/>
  <c r="AA24" i="21"/>
  <c r="AB24" i="21"/>
  <c r="AA25" i="21"/>
  <c r="AB25" i="21"/>
  <c r="AA26" i="21"/>
  <c r="AB26" i="21"/>
  <c r="AA27" i="21"/>
  <c r="AB27" i="21"/>
  <c r="AA28" i="21"/>
  <c r="AB28" i="21"/>
  <c r="AA29" i="21"/>
  <c r="AB29" i="21"/>
  <c r="AA30" i="21"/>
  <c r="AB30" i="21"/>
  <c r="AA31" i="21"/>
  <c r="AB31" i="21"/>
  <c r="AA32" i="21"/>
  <c r="AB32" i="21"/>
  <c r="AA33" i="21"/>
  <c r="AB33" i="21"/>
  <c r="AA34" i="21"/>
  <c r="AB34" i="21"/>
  <c r="AA35" i="21"/>
  <c r="AB35" i="21"/>
  <c r="AA36" i="21"/>
  <c r="AB36" i="21"/>
  <c r="AA37" i="21"/>
  <c r="AB37" i="21"/>
  <c r="AA38" i="21"/>
  <c r="AB38" i="21"/>
  <c r="AA39" i="21"/>
  <c r="AB39" i="21"/>
  <c r="AA40" i="21"/>
  <c r="AB40" i="21"/>
  <c r="AA41" i="21"/>
  <c r="AB41" i="21"/>
  <c r="AA42" i="21"/>
  <c r="AB42" i="21"/>
  <c r="AA43" i="21"/>
  <c r="AB43" i="21"/>
  <c r="AA44" i="21"/>
  <c r="AB44" i="21"/>
  <c r="AA45" i="21"/>
  <c r="AB45" i="21"/>
  <c r="AA46" i="21"/>
  <c r="AB46" i="21"/>
  <c r="AA47" i="21"/>
  <c r="AB47" i="21"/>
  <c r="AA48" i="21"/>
  <c r="AB48" i="21"/>
  <c r="AA49" i="21"/>
  <c r="AB49" i="21"/>
  <c r="AA50" i="21"/>
  <c r="AB50" i="21"/>
  <c r="AA51" i="21"/>
  <c r="AB51" i="21"/>
  <c r="AA52" i="21"/>
  <c r="AB52" i="21"/>
  <c r="AA53" i="21"/>
  <c r="AB53" i="21"/>
  <c r="AA54" i="21"/>
  <c r="AB54" i="21"/>
  <c r="AA55" i="21"/>
  <c r="AB55" i="21"/>
  <c r="AA56" i="21"/>
  <c r="AB56" i="21"/>
  <c r="AA57" i="21"/>
  <c r="AB57" i="21"/>
  <c r="AB10" i="21"/>
  <c r="AA10" i="21"/>
  <c r="Z11" i="20"/>
  <c r="AA11" i="20"/>
  <c r="AB11" i="20"/>
  <c r="Z12" i="20"/>
  <c r="AA12" i="20"/>
  <c r="AB12" i="20"/>
  <c r="Z13" i="20"/>
  <c r="AA13" i="20"/>
  <c r="AB13" i="20"/>
  <c r="Z14" i="20"/>
  <c r="AA14" i="20"/>
  <c r="AB14" i="20"/>
  <c r="Z15" i="20"/>
  <c r="AA15" i="20"/>
  <c r="AB15" i="20"/>
  <c r="Z16" i="20"/>
  <c r="AA16" i="20"/>
  <c r="AB16" i="20"/>
  <c r="Z17" i="20"/>
  <c r="AA17" i="20"/>
  <c r="AB17" i="20"/>
  <c r="Z18" i="20"/>
  <c r="AA18" i="20"/>
  <c r="AB18" i="20"/>
  <c r="Z19" i="20"/>
  <c r="AA19" i="20"/>
  <c r="AB19" i="20"/>
  <c r="Z20" i="20"/>
  <c r="AA20" i="20"/>
  <c r="AB20" i="20"/>
  <c r="Z21" i="20"/>
  <c r="AA21" i="20"/>
  <c r="AB21" i="20"/>
  <c r="Z22" i="20"/>
  <c r="AA22" i="20"/>
  <c r="AB22" i="20"/>
  <c r="Z23" i="20"/>
  <c r="AA23" i="20"/>
  <c r="AB23" i="20"/>
  <c r="Z24" i="20"/>
  <c r="AA24" i="20"/>
  <c r="AB24" i="20"/>
  <c r="Z25" i="20"/>
  <c r="AA25" i="20"/>
  <c r="AB25" i="20"/>
  <c r="Z26" i="20"/>
  <c r="AA26" i="20"/>
  <c r="AB26" i="20"/>
  <c r="Z27" i="20"/>
  <c r="AA27" i="20"/>
  <c r="AB27" i="20"/>
  <c r="Z28" i="20"/>
  <c r="AA28" i="20"/>
  <c r="AB28" i="20"/>
  <c r="Z29" i="20"/>
  <c r="AA29" i="20"/>
  <c r="AB29" i="20"/>
  <c r="Z30" i="20"/>
  <c r="AA30" i="20"/>
  <c r="AB30" i="20"/>
  <c r="Z31" i="20"/>
  <c r="AA31" i="20"/>
  <c r="AB31" i="20"/>
  <c r="Z32" i="20"/>
  <c r="AA32" i="20"/>
  <c r="AB32" i="20"/>
  <c r="Z33" i="20"/>
  <c r="AA33" i="20"/>
  <c r="AB33" i="20"/>
  <c r="Z34" i="20"/>
  <c r="AA34" i="20"/>
  <c r="AB34" i="20"/>
  <c r="Z35" i="20"/>
  <c r="AA35" i="20"/>
  <c r="AB35" i="20"/>
  <c r="Z36" i="20"/>
  <c r="AA36" i="20"/>
  <c r="AB36" i="20"/>
  <c r="Z37" i="20"/>
  <c r="AA37" i="20"/>
  <c r="AB37" i="20"/>
  <c r="Z38" i="20"/>
  <c r="AA38" i="20"/>
  <c r="AB38" i="20"/>
  <c r="Z39" i="20"/>
  <c r="AA39" i="20"/>
  <c r="AB39" i="20"/>
  <c r="Z40" i="20"/>
  <c r="AA40" i="20"/>
  <c r="AB40" i="20"/>
  <c r="Z41" i="20"/>
  <c r="AA41" i="20"/>
  <c r="AB41" i="20"/>
  <c r="Z42" i="20"/>
  <c r="AA42" i="20"/>
  <c r="AB42" i="20"/>
  <c r="Z43" i="20"/>
  <c r="AA43" i="20"/>
  <c r="AB43" i="20"/>
  <c r="Z44" i="20"/>
  <c r="AA44" i="20"/>
  <c r="AB44" i="20"/>
  <c r="Z45" i="20"/>
  <c r="AA45" i="20"/>
  <c r="AB45" i="20"/>
  <c r="Z46" i="20"/>
  <c r="AA46" i="20"/>
  <c r="AB46" i="20"/>
  <c r="Z47" i="20"/>
  <c r="AA47" i="20"/>
  <c r="AB47" i="20"/>
  <c r="Z48" i="20"/>
  <c r="AA48" i="20"/>
  <c r="AB48" i="20"/>
  <c r="Z49" i="20"/>
  <c r="AA49" i="20"/>
  <c r="AB49" i="20"/>
  <c r="Z50" i="20"/>
  <c r="AA50" i="20"/>
  <c r="AB50" i="20"/>
  <c r="Z51" i="20"/>
  <c r="AA51" i="20"/>
  <c r="AB51" i="20"/>
  <c r="Z52" i="20"/>
  <c r="AA52" i="20"/>
  <c r="AB52" i="20"/>
  <c r="Z53" i="20"/>
  <c r="AA53" i="20"/>
  <c r="AB53" i="20"/>
  <c r="Z54" i="20"/>
  <c r="AA54" i="20"/>
  <c r="AB54" i="20"/>
  <c r="Z55" i="20"/>
  <c r="AA55" i="20"/>
  <c r="AB55" i="20"/>
  <c r="Z56" i="20"/>
  <c r="AA56" i="20"/>
  <c r="AB56" i="20"/>
  <c r="Z57" i="20"/>
  <c r="AA57" i="20"/>
  <c r="AB57" i="20"/>
  <c r="AB10" i="20"/>
  <c r="AA10" i="20"/>
  <c r="Z10" i="20"/>
  <c r="Z12" i="19"/>
  <c r="AA12" i="19"/>
  <c r="AB12" i="19"/>
  <c r="Z13" i="19"/>
  <c r="AA13" i="19"/>
  <c r="AB13" i="19"/>
  <c r="Z14" i="19"/>
  <c r="AA14" i="19"/>
  <c r="AB14" i="19"/>
  <c r="Z15" i="19"/>
  <c r="AA15" i="19"/>
  <c r="AB15" i="19"/>
  <c r="Z16" i="19"/>
  <c r="AA16" i="19"/>
  <c r="AB16" i="19"/>
  <c r="Z17" i="19"/>
  <c r="AA17" i="19"/>
  <c r="AB17" i="19"/>
  <c r="Z18" i="19"/>
  <c r="AA18" i="19"/>
  <c r="AB18" i="19"/>
  <c r="Z19" i="19"/>
  <c r="AA19" i="19"/>
  <c r="AB19" i="19"/>
  <c r="Z20" i="19"/>
  <c r="AA20" i="19"/>
  <c r="AB20" i="19"/>
  <c r="Z21" i="19"/>
  <c r="AA21" i="19"/>
  <c r="AB21" i="19"/>
  <c r="Z22" i="19"/>
  <c r="AA22" i="19"/>
  <c r="AB22" i="19"/>
  <c r="Z23" i="19"/>
  <c r="AA23" i="19"/>
  <c r="AB23" i="19"/>
  <c r="Z24" i="19"/>
  <c r="AA24" i="19"/>
  <c r="AB24" i="19"/>
  <c r="Z25" i="19"/>
  <c r="AA25" i="19"/>
  <c r="AB25" i="19"/>
  <c r="Z26" i="19"/>
  <c r="AA26" i="19"/>
  <c r="AB26" i="19"/>
  <c r="Z27" i="19"/>
  <c r="AA27" i="19"/>
  <c r="AB27" i="19"/>
  <c r="Z28" i="19"/>
  <c r="AA28" i="19"/>
  <c r="AB28" i="19"/>
  <c r="Z29" i="19"/>
  <c r="AA29" i="19"/>
  <c r="AB29" i="19"/>
  <c r="Z30" i="19"/>
  <c r="AA30" i="19"/>
  <c r="AB30" i="19"/>
  <c r="Z31" i="19"/>
  <c r="AA31" i="19"/>
  <c r="AB31" i="19"/>
  <c r="Z32" i="19"/>
  <c r="AA32" i="19"/>
  <c r="AB32" i="19"/>
  <c r="Z33" i="19"/>
  <c r="AA33" i="19"/>
  <c r="AB33" i="19"/>
  <c r="Z34" i="19"/>
  <c r="AA34" i="19"/>
  <c r="AB34" i="19"/>
  <c r="Z35" i="19"/>
  <c r="AA35" i="19"/>
  <c r="AB35" i="19"/>
  <c r="Z36" i="19"/>
  <c r="AA36" i="19"/>
  <c r="AB36" i="19"/>
  <c r="Z37" i="19"/>
  <c r="AA37" i="19"/>
  <c r="AB37" i="19"/>
  <c r="Z38" i="19"/>
  <c r="AA38" i="19"/>
  <c r="AB38" i="19"/>
  <c r="Z39" i="19"/>
  <c r="AA39" i="19"/>
  <c r="AB39" i="19"/>
  <c r="Z40" i="19"/>
  <c r="AA40" i="19"/>
  <c r="AB40" i="19"/>
  <c r="Z41" i="19"/>
  <c r="AA41" i="19"/>
  <c r="AB41" i="19"/>
  <c r="Z42" i="19"/>
  <c r="AA42" i="19"/>
  <c r="AB42" i="19"/>
  <c r="Z43" i="19"/>
  <c r="AA43" i="19"/>
  <c r="AB43" i="19"/>
  <c r="Z44" i="19"/>
  <c r="AA44" i="19"/>
  <c r="AB44" i="19"/>
  <c r="Z45" i="19"/>
  <c r="AA45" i="19"/>
  <c r="AB45" i="19"/>
  <c r="Z46" i="19"/>
  <c r="AA46" i="19"/>
  <c r="AB46" i="19"/>
  <c r="Z47" i="19"/>
  <c r="AA47" i="19"/>
  <c r="AB47" i="19"/>
  <c r="Z48" i="19"/>
  <c r="AA48" i="19"/>
  <c r="AB48" i="19"/>
  <c r="Z49" i="19"/>
  <c r="AA49" i="19"/>
  <c r="AB49" i="19"/>
  <c r="Z50" i="19"/>
  <c r="AA50" i="19"/>
  <c r="AB50" i="19"/>
  <c r="Z51" i="19"/>
  <c r="AA51" i="19"/>
  <c r="AB51" i="19"/>
  <c r="Z52" i="19"/>
  <c r="AA52" i="19"/>
  <c r="AB52" i="19"/>
  <c r="Z53" i="19"/>
  <c r="AA53" i="19"/>
  <c r="AB53" i="19"/>
  <c r="Z54" i="19"/>
  <c r="AA54" i="19"/>
  <c r="AB54" i="19"/>
  <c r="Z55" i="19"/>
  <c r="AA55" i="19"/>
  <c r="AB55" i="19"/>
  <c r="Z56" i="19"/>
  <c r="AA56" i="19"/>
  <c r="AB56" i="19"/>
  <c r="Z57" i="19"/>
  <c r="AA57" i="19"/>
  <c r="AB57" i="19"/>
  <c r="Z58" i="19"/>
  <c r="AA58" i="19"/>
  <c r="AB58" i="19"/>
  <c r="AB11" i="19"/>
  <c r="AA11" i="19"/>
  <c r="T44" i="20" l="1"/>
  <c r="T19" i="20"/>
  <c r="T57" i="20"/>
  <c r="T25" i="20"/>
  <c r="T25" i="21" s="1"/>
  <c r="T45" i="20"/>
  <c r="T16" i="20"/>
  <c r="AE16" i="20" s="1"/>
  <c r="J16" i="20" s="1"/>
  <c r="T23" i="20"/>
  <c r="T28" i="20"/>
  <c r="T27" i="20"/>
  <c r="AE27" i="20" s="1"/>
  <c r="J27" i="20" s="1"/>
  <c r="T21" i="20"/>
  <c r="T24" i="20"/>
  <c r="T24" i="21" s="1"/>
  <c r="T35" i="20"/>
  <c r="T54" i="20"/>
  <c r="T52" i="20"/>
  <c r="T30" i="20"/>
  <c r="T13" i="20"/>
  <c r="T32" i="20"/>
  <c r="T14" i="20"/>
  <c r="T22" i="20"/>
  <c r="T47" i="20"/>
  <c r="AC49" i="21"/>
  <c r="H49" i="21" s="1"/>
  <c r="AC33" i="21"/>
  <c r="H33" i="21" s="1"/>
  <c r="AD57" i="20"/>
  <c r="I57" i="20" s="1"/>
  <c r="AD16" i="20"/>
  <c r="I16" i="20" s="1"/>
  <c r="AC40" i="21"/>
  <c r="H40" i="21" s="1"/>
  <c r="AD15" i="20"/>
  <c r="I15" i="20" s="1"/>
  <c r="AC46" i="21"/>
  <c r="H46" i="21" s="1"/>
  <c r="AC42" i="21"/>
  <c r="H42" i="21" s="1"/>
  <c r="AC47" i="21"/>
  <c r="H47" i="21" s="1"/>
  <c r="AD30" i="20"/>
  <c r="I30" i="20" s="1"/>
  <c r="AD23" i="20"/>
  <c r="I23" i="20" s="1"/>
  <c r="AD51" i="20"/>
  <c r="I51" i="20" s="1"/>
  <c r="AD25" i="20"/>
  <c r="I25" i="20" s="1"/>
  <c r="AC39" i="21"/>
  <c r="H39" i="21" s="1"/>
  <c r="AD45" i="20"/>
  <c r="I45" i="20" s="1"/>
  <c r="AD36" i="20"/>
  <c r="I36" i="20" s="1"/>
  <c r="AC43" i="21"/>
  <c r="H43" i="21" s="1"/>
  <c r="AC18" i="21"/>
  <c r="H18" i="21" s="1"/>
  <c r="AD12" i="20"/>
  <c r="I12" i="20" s="1"/>
  <c r="AD14" i="20"/>
  <c r="I14" i="20" s="1"/>
  <c r="AD28" i="20"/>
  <c r="I28" i="20" s="1"/>
  <c r="AD13" i="20"/>
  <c r="I13" i="20" s="1"/>
  <c r="AD54" i="20"/>
  <c r="I54" i="20" s="1"/>
  <c r="AD32" i="20"/>
  <c r="I32" i="20" s="1"/>
  <c r="AD44" i="20"/>
  <c r="I44" i="20" s="1"/>
  <c r="AD17" i="20"/>
  <c r="I17" i="20" s="1"/>
  <c r="T19" i="21"/>
  <c r="AC26" i="21"/>
  <c r="H26" i="21" s="1"/>
  <c r="AD56" i="20"/>
  <c r="I56" i="20" s="1"/>
  <c r="AD27" i="20"/>
  <c r="I27" i="20" s="1"/>
  <c r="AD48" i="20"/>
  <c r="I48" i="20" s="1"/>
  <c r="T12" i="21"/>
  <c r="AD24" i="20"/>
  <c r="I24" i="20" s="1"/>
  <c r="AC38" i="21"/>
  <c r="H38" i="21" s="1"/>
  <c r="AC20" i="21"/>
  <c r="H20" i="21" s="1"/>
  <c r="AD31" i="20"/>
  <c r="I31" i="20" s="1"/>
  <c r="AD34" i="20"/>
  <c r="I34" i="20" s="1"/>
  <c r="AD35" i="20"/>
  <c r="I35" i="20" s="1"/>
  <c r="AC41" i="21"/>
  <c r="H41" i="21" s="1"/>
  <c r="AE31" i="20"/>
  <c r="J31" i="20" s="1"/>
  <c r="AC37" i="21"/>
  <c r="H37" i="21" s="1"/>
  <c r="T48" i="21"/>
  <c r="AC22" i="21"/>
  <c r="H22" i="21" s="1"/>
  <c r="AD52" i="20"/>
  <c r="I52" i="20" s="1"/>
  <c r="AD55" i="20"/>
  <c r="I55" i="20" s="1"/>
  <c r="AC10" i="21"/>
  <c r="H10" i="21" s="1"/>
  <c r="AE56" i="20"/>
  <c r="J56" i="20" s="1"/>
  <c r="AC29" i="21"/>
  <c r="H29" i="21" s="1"/>
  <c r="T17" i="20"/>
  <c r="T15" i="20"/>
  <c r="T55" i="20"/>
  <c r="T34" i="20"/>
  <c r="T51" i="20"/>
  <c r="T11" i="20"/>
  <c r="T36" i="20"/>
  <c r="U8" i="20"/>
  <c r="T50" i="20"/>
  <c r="AD22" i="20"/>
  <c r="I22" i="20" s="1"/>
  <c r="S22" i="21"/>
  <c r="T31" i="21"/>
  <c r="AD46" i="20"/>
  <c r="I46" i="20" s="1"/>
  <c r="S46" i="21"/>
  <c r="AD19" i="20"/>
  <c r="I19" i="20" s="1"/>
  <c r="S19" i="21"/>
  <c r="T56" i="21"/>
  <c r="AD50" i="20"/>
  <c r="I50" i="20" s="1"/>
  <c r="S50" i="21"/>
  <c r="AD47" i="20"/>
  <c r="I47" i="20" s="1"/>
  <c r="S47" i="21"/>
  <c r="AD21" i="20"/>
  <c r="I21" i="20" s="1"/>
  <c r="S21" i="21"/>
  <c r="AE48" i="20"/>
  <c r="J48" i="20" s="1"/>
  <c r="AE44" i="20"/>
  <c r="J44" i="20" s="1"/>
  <c r="R21" i="21"/>
  <c r="R19" i="21"/>
  <c r="AE19" i="20"/>
  <c r="J19" i="20" s="1"/>
  <c r="AE12" i="20"/>
  <c r="J12" i="20" s="1"/>
  <c r="Z11" i="19"/>
  <c r="AE55" i="20" l="1"/>
  <c r="J55" i="20" s="1"/>
  <c r="T57" i="21"/>
  <c r="AE17" i="20"/>
  <c r="J17" i="20" s="1"/>
  <c r="T14" i="21"/>
  <c r="T35" i="21"/>
  <c r="AE35" i="21" s="1"/>
  <c r="J35" i="21" s="1"/>
  <c r="AE54" i="20"/>
  <c r="J54" i="20" s="1"/>
  <c r="T16" i="21"/>
  <c r="T21" i="21"/>
  <c r="T27" i="21"/>
  <c r="T47" i="21"/>
  <c r="T28" i="21"/>
  <c r="AE28" i="21" s="1"/>
  <c r="J28" i="21" s="1"/>
  <c r="T23" i="21"/>
  <c r="T45" i="21"/>
  <c r="AE45" i="21" s="1"/>
  <c r="J45" i="21" s="1"/>
  <c r="AE36" i="20"/>
  <c r="J36" i="20" s="1"/>
  <c r="T34" i="21"/>
  <c r="AE32" i="20"/>
  <c r="J32" i="20" s="1"/>
  <c r="AE25" i="20"/>
  <c r="J25" i="20" s="1"/>
  <c r="AE22" i="20"/>
  <c r="J22" i="20" s="1"/>
  <c r="AE57" i="20"/>
  <c r="J57" i="20" s="1"/>
  <c r="AE45" i="20"/>
  <c r="J45" i="20" s="1"/>
  <c r="T13" i="21"/>
  <c r="AE30" i="20"/>
  <c r="J30" i="20" s="1"/>
  <c r="T30" i="21"/>
  <c r="AE52" i="20"/>
  <c r="J52" i="20" s="1"/>
  <c r="T54" i="21"/>
  <c r="AE21" i="20"/>
  <c r="J21" i="20" s="1"/>
  <c r="AE13" i="20"/>
  <c r="J13" i="20" s="1"/>
  <c r="AE35" i="20"/>
  <c r="J35" i="20" s="1"/>
  <c r="AE24" i="20"/>
  <c r="J24" i="20" s="1"/>
  <c r="AE23" i="20"/>
  <c r="J23" i="20" s="1"/>
  <c r="T22" i="21"/>
  <c r="AE28" i="20"/>
  <c r="J28" i="20" s="1"/>
  <c r="AE47" i="20"/>
  <c r="J47" i="20" s="1"/>
  <c r="T32" i="21"/>
  <c r="AE14" i="20"/>
  <c r="J14" i="20" s="1"/>
  <c r="T11" i="21"/>
  <c r="AE15" i="20"/>
  <c r="J15" i="20" s="1"/>
  <c r="R50" i="21"/>
  <c r="AE24" i="21"/>
  <c r="J24" i="21" s="1"/>
  <c r="AE48" i="21"/>
  <c r="J48" i="21" s="1"/>
  <c r="AD19" i="21"/>
  <c r="I19" i="21" s="1"/>
  <c r="T36" i="21"/>
  <c r="T15" i="21"/>
  <c r="AE11" i="20"/>
  <c r="J11" i="20" s="1"/>
  <c r="AC21" i="21"/>
  <c r="H21" i="21" s="1"/>
  <c r="AD50" i="21"/>
  <c r="I50" i="21" s="1"/>
  <c r="AE56" i="21"/>
  <c r="J56" i="21" s="1"/>
  <c r="AD46" i="21"/>
  <c r="I46" i="21" s="1"/>
  <c r="AD21" i="21"/>
  <c r="I21" i="21" s="1"/>
  <c r="AE51" i="20"/>
  <c r="J51" i="20" s="1"/>
  <c r="AC19" i="21"/>
  <c r="H19" i="21" s="1"/>
  <c r="AE25" i="21"/>
  <c r="J25" i="21" s="1"/>
  <c r="AE34" i="20"/>
  <c r="J34" i="20" s="1"/>
  <c r="AD47" i="21"/>
  <c r="I47" i="21" s="1"/>
  <c r="AE31" i="21"/>
  <c r="J31" i="21" s="1"/>
  <c r="T55" i="21"/>
  <c r="AD22" i="21"/>
  <c r="I22" i="21" s="1"/>
  <c r="T17" i="21"/>
  <c r="AE12" i="21"/>
  <c r="J12" i="21" s="1"/>
  <c r="AE19" i="21"/>
  <c r="J19" i="21" s="1"/>
  <c r="T50" i="21"/>
  <c r="AE50" i="20"/>
  <c r="J50" i="20" s="1"/>
  <c r="V8" i="20"/>
  <c r="U11" i="20"/>
  <c r="U27" i="20"/>
  <c r="U54" i="20"/>
  <c r="U14" i="20"/>
  <c r="U30" i="20"/>
  <c r="U36" i="20"/>
  <c r="U15" i="20"/>
  <c r="U17" i="20"/>
  <c r="U13" i="20"/>
  <c r="U52" i="20"/>
  <c r="U35" i="20"/>
  <c r="U51" i="20"/>
  <c r="U23" i="20"/>
  <c r="U24" i="20"/>
  <c r="U48" i="20"/>
  <c r="U32" i="20"/>
  <c r="U34" i="20"/>
  <c r="U45" i="20"/>
  <c r="U57" i="20"/>
  <c r="U28" i="20"/>
  <c r="U31" i="20"/>
  <c r="U55" i="20"/>
  <c r="U16" i="20"/>
  <c r="U25" i="20"/>
  <c r="U44" i="20"/>
  <c r="U12" i="20"/>
  <c r="U56" i="20"/>
  <c r="O74" i="19"/>
  <c r="O89" i="19"/>
  <c r="O92" i="19"/>
  <c r="O97" i="19"/>
  <c r="O101" i="19"/>
  <c r="S105" i="19"/>
  <c r="I105" i="19" s="1"/>
  <c r="S106" i="19"/>
  <c r="I106" i="19" s="1"/>
  <c r="T106" i="19"/>
  <c r="J106" i="19" s="1"/>
  <c r="T107" i="19"/>
  <c r="J107" i="19" s="1"/>
  <c r="S108" i="19"/>
  <c r="I108" i="19" s="1"/>
  <c r="S109" i="19"/>
  <c r="I109" i="19" s="1"/>
  <c r="S110" i="19"/>
  <c r="I110" i="19" s="1"/>
  <c r="S111" i="19"/>
  <c r="I111" i="19" s="1"/>
  <c r="O137" i="19"/>
  <c r="A137" i="19" s="1"/>
  <c r="O138" i="19"/>
  <c r="A138" i="19" s="1"/>
  <c r="O139" i="19"/>
  <c r="A139" i="19" s="1"/>
  <c r="O140" i="19"/>
  <c r="A140" i="19" s="1"/>
  <c r="O144" i="19"/>
  <c r="O152" i="19"/>
  <c r="O156" i="19"/>
  <c r="AE27" i="21" l="1"/>
  <c r="J27" i="21" s="1"/>
  <c r="AE23" i="21"/>
  <c r="J23" i="21" s="1"/>
  <c r="AE47" i="21"/>
  <c r="J47" i="21" s="1"/>
  <c r="AE21" i="21"/>
  <c r="J21" i="21" s="1"/>
  <c r="AE34" i="21"/>
  <c r="J34" i="21" s="1"/>
  <c r="AE16" i="21"/>
  <c r="J16" i="21" s="1"/>
  <c r="AE22" i="21"/>
  <c r="J22" i="21" s="1"/>
  <c r="AE57" i="21"/>
  <c r="J57" i="21" s="1"/>
  <c r="AE14" i="21"/>
  <c r="J14" i="21" s="1"/>
  <c r="AE54" i="21"/>
  <c r="J54" i="21" s="1"/>
  <c r="AE11" i="21"/>
  <c r="J11" i="21" s="1"/>
  <c r="AE30" i="21"/>
  <c r="J30" i="21" s="1"/>
  <c r="AE32" i="21"/>
  <c r="J32" i="21" s="1"/>
  <c r="AE13" i="21"/>
  <c r="J13" i="21" s="1"/>
  <c r="AE50" i="21"/>
  <c r="J50" i="21" s="1"/>
  <c r="AE17" i="21"/>
  <c r="J17" i="21" s="1"/>
  <c r="AE55" i="21"/>
  <c r="J55" i="21" s="1"/>
  <c r="AE15" i="21"/>
  <c r="J15" i="21" s="1"/>
  <c r="AE36" i="21"/>
  <c r="J36" i="21" s="1"/>
  <c r="AC50" i="21"/>
  <c r="H50" i="21" s="1"/>
  <c r="S12" i="21"/>
  <c r="R12" i="21"/>
  <c r="S27" i="21"/>
  <c r="R27" i="21"/>
  <c r="S55" i="21"/>
  <c r="R55" i="21"/>
  <c r="S31" i="21"/>
  <c r="R31" i="21"/>
  <c r="S13" i="21"/>
  <c r="R13" i="21"/>
  <c r="S24" i="21"/>
  <c r="R24" i="21"/>
  <c r="S23" i="21"/>
  <c r="R23" i="21"/>
  <c r="S11" i="21"/>
  <c r="R11" i="21"/>
  <c r="S35" i="21"/>
  <c r="R35" i="21"/>
  <c r="S57" i="21"/>
  <c r="R57" i="21"/>
  <c r="S45" i="21"/>
  <c r="R45" i="21"/>
  <c r="S30" i="21"/>
  <c r="R30" i="21"/>
  <c r="S32" i="21"/>
  <c r="R32" i="21"/>
  <c r="S14" i="21"/>
  <c r="R14" i="21"/>
  <c r="S25" i="21"/>
  <c r="R25" i="21"/>
  <c r="S16" i="21"/>
  <c r="R16" i="21"/>
  <c r="S28" i="21"/>
  <c r="R28" i="21"/>
  <c r="S17" i="21"/>
  <c r="R17" i="21"/>
  <c r="S15" i="21"/>
  <c r="R15" i="21"/>
  <c r="S36" i="21"/>
  <c r="R36" i="21"/>
  <c r="S34" i="21"/>
  <c r="R34" i="21"/>
  <c r="S56" i="21"/>
  <c r="R56" i="21"/>
  <c r="S48" i="21"/>
  <c r="R48" i="21"/>
  <c r="S54" i="21"/>
  <c r="R54" i="21"/>
  <c r="AF17" i="20"/>
  <c r="K17" i="20" s="1"/>
  <c r="U17" i="21"/>
  <c r="U55" i="21"/>
  <c r="AF55" i="20"/>
  <c r="K55" i="20" s="1"/>
  <c r="U15" i="21"/>
  <c r="AF15" i="20"/>
  <c r="K15" i="20" s="1"/>
  <c r="U36" i="21"/>
  <c r="AF36" i="20"/>
  <c r="K36" i="20" s="1"/>
  <c r="U30" i="21"/>
  <c r="AF30" i="20"/>
  <c r="K30" i="20" s="1"/>
  <c r="AF52" i="20"/>
  <c r="K52" i="20" s="1"/>
  <c r="U34" i="21"/>
  <c r="AF34" i="20"/>
  <c r="K34" i="20" s="1"/>
  <c r="U32" i="21"/>
  <c r="AF32" i="20"/>
  <c r="K32" i="20" s="1"/>
  <c r="U14" i="21"/>
  <c r="AF14" i="20"/>
  <c r="K14" i="20" s="1"/>
  <c r="U13" i="21"/>
  <c r="AF13" i="20"/>
  <c r="K13" i="20" s="1"/>
  <c r="U56" i="21"/>
  <c r="AF56" i="20"/>
  <c r="K56" i="20" s="1"/>
  <c r="U48" i="21"/>
  <c r="AF48" i="20"/>
  <c r="K48" i="20" s="1"/>
  <c r="U54" i="21"/>
  <c r="AF54" i="20"/>
  <c r="K54" i="20" s="1"/>
  <c r="U57" i="21"/>
  <c r="AF57" i="20"/>
  <c r="K57" i="20" s="1"/>
  <c r="U28" i="21"/>
  <c r="AF28" i="20"/>
  <c r="K28" i="20" s="1"/>
  <c r="AF24" i="20"/>
  <c r="K24" i="20" s="1"/>
  <c r="U24" i="21"/>
  <c r="U23" i="21"/>
  <c r="AF23" i="20"/>
  <c r="K23" i="20" s="1"/>
  <c r="AF11" i="20"/>
  <c r="K11" i="20" s="1"/>
  <c r="U11" i="21"/>
  <c r="U45" i="21"/>
  <c r="AF45" i="20"/>
  <c r="K45" i="20" s="1"/>
  <c r="U27" i="21"/>
  <c r="AF27" i="20"/>
  <c r="K27" i="20" s="1"/>
  <c r="AF51" i="20"/>
  <c r="K51" i="20" s="1"/>
  <c r="W8" i="20"/>
  <c r="V52" i="20"/>
  <c r="V51" i="20"/>
  <c r="V44" i="20"/>
  <c r="AF31" i="20"/>
  <c r="K31" i="20" s="1"/>
  <c r="U31" i="21"/>
  <c r="U12" i="21"/>
  <c r="AF12" i="20"/>
  <c r="K12" i="20" s="1"/>
  <c r="AF44" i="20"/>
  <c r="K44" i="20" s="1"/>
  <c r="U25" i="21"/>
  <c r="AF25" i="20"/>
  <c r="K25" i="20" s="1"/>
  <c r="U16" i="21"/>
  <c r="AF16" i="20"/>
  <c r="K16" i="20" s="1"/>
  <c r="U35" i="21"/>
  <c r="AF35" i="20"/>
  <c r="K35" i="20" s="1"/>
  <c r="E146" i="16"/>
  <c r="I76" i="16"/>
  <c r="I77" i="16"/>
  <c r="I78" i="16"/>
  <c r="I75" i="16"/>
  <c r="AC24" i="21" l="1"/>
  <c r="H24" i="21" s="1"/>
  <c r="AF31" i="21"/>
  <c r="K31" i="21" s="1"/>
  <c r="AF48" i="21"/>
  <c r="K48" i="21" s="1"/>
  <c r="AC48" i="21"/>
  <c r="H48" i="21" s="1"/>
  <c r="AC28" i="21"/>
  <c r="H28" i="21" s="1"/>
  <c r="AC45" i="21"/>
  <c r="H45" i="21" s="1"/>
  <c r="AC13" i="21"/>
  <c r="H13" i="21" s="1"/>
  <c r="AD54" i="21"/>
  <c r="I54" i="21" s="1"/>
  <c r="AF30" i="21"/>
  <c r="K30" i="21" s="1"/>
  <c r="AD13" i="21"/>
  <c r="I13" i="21" s="1"/>
  <c r="AC16" i="21"/>
  <c r="H16" i="21" s="1"/>
  <c r="AD16" i="21"/>
  <c r="I16" i="21" s="1"/>
  <c r="R52" i="21"/>
  <c r="AF13" i="21"/>
  <c r="K13" i="21" s="1"/>
  <c r="AC34" i="21"/>
  <c r="H34" i="21" s="1"/>
  <c r="AC25" i="21"/>
  <c r="H25" i="21" s="1"/>
  <c r="AC35" i="21"/>
  <c r="H35" i="21" s="1"/>
  <c r="AC55" i="21"/>
  <c r="H55" i="21" s="1"/>
  <c r="AC30" i="21"/>
  <c r="H30" i="21" s="1"/>
  <c r="AF56" i="21"/>
  <c r="K56" i="21" s="1"/>
  <c r="AD57" i="21"/>
  <c r="I57" i="21" s="1"/>
  <c r="AF35" i="21"/>
  <c r="K35" i="21" s="1"/>
  <c r="AF15" i="21"/>
  <c r="K15" i="21" s="1"/>
  <c r="AD34" i="21"/>
  <c r="I34" i="21" s="1"/>
  <c r="AD25" i="21"/>
  <c r="I25" i="21" s="1"/>
  <c r="AD35" i="21"/>
  <c r="I35" i="21" s="1"/>
  <c r="AD55" i="21"/>
  <c r="I55" i="21" s="1"/>
  <c r="AF34" i="21"/>
  <c r="K34" i="21" s="1"/>
  <c r="AD30" i="21"/>
  <c r="I30" i="21" s="1"/>
  <c r="R44" i="21"/>
  <c r="AC31" i="21"/>
  <c r="H31" i="21" s="1"/>
  <c r="AF14" i="21"/>
  <c r="K14" i="21" s="1"/>
  <c r="AC36" i="21"/>
  <c r="H36" i="21" s="1"/>
  <c r="AC14" i="21"/>
  <c r="H14" i="21" s="1"/>
  <c r="AC11" i="21"/>
  <c r="H11" i="21" s="1"/>
  <c r="AC27" i="21"/>
  <c r="H27" i="21" s="1"/>
  <c r="AF45" i="21"/>
  <c r="K45" i="21" s="1"/>
  <c r="AC17" i="21"/>
  <c r="H17" i="21" s="1"/>
  <c r="AF11" i="21"/>
  <c r="K11" i="21" s="1"/>
  <c r="AD17" i="21"/>
  <c r="I17" i="21" s="1"/>
  <c r="AD48" i="21"/>
  <c r="I48" i="21" s="1"/>
  <c r="AF23" i="21"/>
  <c r="K23" i="21" s="1"/>
  <c r="R51" i="21"/>
  <c r="AF36" i="21"/>
  <c r="K36" i="21" s="1"/>
  <c r="AF28" i="21"/>
  <c r="K28" i="21" s="1"/>
  <c r="AF55" i="21"/>
  <c r="K55" i="21" s="1"/>
  <c r="AD36" i="21"/>
  <c r="I36" i="21" s="1"/>
  <c r="AD14" i="21"/>
  <c r="I14" i="21" s="1"/>
  <c r="AD11" i="21"/>
  <c r="I11" i="21" s="1"/>
  <c r="AD27" i="21"/>
  <c r="I27" i="21" s="1"/>
  <c r="AF54" i="21"/>
  <c r="K54" i="21" s="1"/>
  <c r="AF12" i="21"/>
  <c r="K12" i="21" s="1"/>
  <c r="AD45" i="21"/>
  <c r="I45" i="21" s="1"/>
  <c r="AC56" i="21"/>
  <c r="H56" i="21" s="1"/>
  <c r="AF24" i="21"/>
  <c r="K24" i="21" s="1"/>
  <c r="AD31" i="21"/>
  <c r="I31" i="21" s="1"/>
  <c r="AF25" i="21"/>
  <c r="K25" i="21" s="1"/>
  <c r="AF27" i="21"/>
  <c r="K27" i="21" s="1"/>
  <c r="AF57" i="21"/>
  <c r="K57" i="21" s="1"/>
  <c r="AF32" i="21"/>
  <c r="K32" i="21" s="1"/>
  <c r="AF17" i="21"/>
  <c r="K17" i="21" s="1"/>
  <c r="AC15" i="21"/>
  <c r="H15" i="21" s="1"/>
  <c r="AC32" i="21"/>
  <c r="H32" i="21" s="1"/>
  <c r="AC23" i="21"/>
  <c r="H23" i="21" s="1"/>
  <c r="AC12" i="21"/>
  <c r="H12" i="21" s="1"/>
  <c r="AC54" i="21"/>
  <c r="H54" i="21" s="1"/>
  <c r="AD24" i="21"/>
  <c r="I24" i="21" s="1"/>
  <c r="AD28" i="21"/>
  <c r="I28" i="21" s="1"/>
  <c r="AC57" i="21"/>
  <c r="H57" i="21" s="1"/>
  <c r="AD56" i="21"/>
  <c r="I56" i="21" s="1"/>
  <c r="AF16" i="21"/>
  <c r="K16" i="21" s="1"/>
  <c r="AD15" i="21"/>
  <c r="I15" i="21" s="1"/>
  <c r="AD32" i="21"/>
  <c r="I32" i="21" s="1"/>
  <c r="AD23" i="21"/>
  <c r="I23" i="21" s="1"/>
  <c r="AD12" i="21"/>
  <c r="I12" i="21" s="1"/>
  <c r="T51" i="21"/>
  <c r="T52" i="21"/>
  <c r="S44" i="21"/>
  <c r="S51" i="21"/>
  <c r="V44" i="21"/>
  <c r="AG44" i="20"/>
  <c r="L44" i="20" s="1"/>
  <c r="AG51" i="20"/>
  <c r="L51" i="20" s="1"/>
  <c r="V52" i="21"/>
  <c r="AG52" i="20"/>
  <c r="L52" i="20" s="1"/>
  <c r="X8" i="20"/>
  <c r="X51" i="20" s="1"/>
  <c r="W51" i="20"/>
  <c r="W52" i="20"/>
  <c r="W44" i="20"/>
  <c r="O91" i="20"/>
  <c r="AG44" i="21" l="1"/>
  <c r="L44" i="21" s="1"/>
  <c r="AC44" i="21"/>
  <c r="H44" i="21" s="1"/>
  <c r="AD51" i="21"/>
  <c r="I51" i="21" s="1"/>
  <c r="U44" i="21"/>
  <c r="AE51" i="21"/>
  <c r="J51" i="21" s="1"/>
  <c r="AE52" i="21"/>
  <c r="J52" i="21" s="1"/>
  <c r="U51" i="21"/>
  <c r="AD44" i="21"/>
  <c r="I44" i="21" s="1"/>
  <c r="V51" i="21"/>
  <c r="AG52" i="21"/>
  <c r="L52" i="21" s="1"/>
  <c r="AC51" i="21"/>
  <c r="H51" i="21" s="1"/>
  <c r="AC52" i="21"/>
  <c r="H52" i="21" s="1"/>
  <c r="U52" i="21"/>
  <c r="S52" i="21"/>
  <c r="T44" i="21"/>
  <c r="W44" i="21"/>
  <c r="AH44" i="20"/>
  <c r="M44" i="20" s="1"/>
  <c r="W51" i="21"/>
  <c r="AH51" i="20"/>
  <c r="M51" i="20" s="1"/>
  <c r="X51" i="21"/>
  <c r="AI51" i="20"/>
  <c r="N51" i="20" s="1"/>
  <c r="W52" i="21"/>
  <c r="AH52" i="20"/>
  <c r="M52" i="20" s="1"/>
  <c r="O91" i="21"/>
  <c r="AH52" i="21" l="1"/>
  <c r="M52" i="21" s="1"/>
  <c r="AH51" i="21"/>
  <c r="M51" i="21" s="1"/>
  <c r="AG51" i="21"/>
  <c r="L51" i="21" s="1"/>
  <c r="AI51" i="21"/>
  <c r="N51" i="21" s="1"/>
  <c r="AH44" i="21"/>
  <c r="M44" i="21" s="1"/>
  <c r="AF44" i="21"/>
  <c r="K44" i="21" s="1"/>
  <c r="AE44" i="21"/>
  <c r="J44" i="21" s="1"/>
  <c r="AD52" i="21"/>
  <c r="I52" i="21" s="1"/>
  <c r="AF52" i="21"/>
  <c r="K52" i="21" s="1"/>
  <c r="AF51" i="21"/>
  <c r="K51" i="21" s="1"/>
  <c r="O96" i="20"/>
  <c r="O96" i="21" l="1"/>
  <c r="F5" i="25" l="1"/>
  <c r="I15" i="25" l="1"/>
  <c r="J15" i="25" s="1"/>
  <c r="K15" i="25" s="1"/>
  <c r="D5" i="25" l="1"/>
  <c r="E5" i="25" l="1"/>
  <c r="F7" i="25" l="1"/>
  <c r="F6" i="25"/>
  <c r="AC4" i="25"/>
  <c r="AB5" i="25"/>
  <c r="AC5" i="25" s="1"/>
  <c r="AB6" i="25" l="1"/>
  <c r="AB7" i="25" l="1"/>
  <c r="AC7" i="25" s="1"/>
  <c r="AC6" i="25"/>
  <c r="B7" i="25"/>
  <c r="B6" i="25"/>
  <c r="I3" i="25"/>
  <c r="J3" i="25" l="1"/>
  <c r="B5" i="25" l="1"/>
  <c r="K3" i="25"/>
  <c r="Z12" i="16" l="1"/>
  <c r="Z40" i="16"/>
  <c r="Z44" i="16"/>
  <c r="Z51" i="16"/>
  <c r="Z52" i="16"/>
  <c r="Z56" i="16"/>
  <c r="Z57" i="16"/>
  <c r="R6" i="16" l="1"/>
  <c r="S6" i="16" s="1"/>
  <c r="T6" i="16" s="1"/>
  <c r="U6" i="16" s="1"/>
  <c r="V6" i="16" s="1"/>
  <c r="W6" i="16" s="1"/>
  <c r="X6" i="16" s="1"/>
  <c r="Y6" i="16" s="1"/>
  <c r="I12" i="16"/>
  <c r="I40" i="16"/>
  <c r="I51" i="16"/>
  <c r="I52" i="16"/>
  <c r="J52" i="16"/>
  <c r="K52" i="16"/>
  <c r="L52" i="16"/>
  <c r="D57" i="16"/>
  <c r="O52" i="16"/>
  <c r="L51" i="16"/>
  <c r="L40" i="16"/>
  <c r="L12" i="16"/>
  <c r="R52" i="16"/>
  <c r="Q52" i="16"/>
  <c r="I51" i="15"/>
  <c r="J40" i="16" l="1"/>
  <c r="N52" i="16"/>
  <c r="K51" i="16"/>
  <c r="J51" i="16"/>
  <c r="K40" i="16"/>
  <c r="M52" i="16"/>
  <c r="K12" i="16"/>
  <c r="J12" i="16"/>
  <c r="R55" i="16"/>
  <c r="Q55" i="16"/>
  <c r="R54" i="16"/>
  <c r="Q54" i="16"/>
  <c r="R53" i="16"/>
  <c r="Q53" i="16"/>
  <c r="R51" i="16"/>
  <c r="Q51" i="16"/>
  <c r="R50" i="16"/>
  <c r="Q50" i="16"/>
  <c r="R49" i="16"/>
  <c r="Q49" i="16"/>
  <c r="R48" i="16"/>
  <c r="Q48" i="16"/>
  <c r="R47" i="16"/>
  <c r="Q47" i="16"/>
  <c r="R46" i="16"/>
  <c r="Q46" i="16"/>
  <c r="R45" i="16"/>
  <c r="Q45" i="16"/>
  <c r="R44" i="16"/>
  <c r="Q44" i="16"/>
  <c r="R43" i="16"/>
  <c r="Q43" i="16"/>
  <c r="R42" i="16"/>
  <c r="Q42" i="16"/>
  <c r="R41" i="16"/>
  <c r="Q41" i="16"/>
  <c r="R40" i="16"/>
  <c r="Q40" i="16"/>
  <c r="R39" i="16"/>
  <c r="Q39" i="16"/>
  <c r="R38" i="16"/>
  <c r="Q38" i="16"/>
  <c r="R37" i="16"/>
  <c r="Q37" i="16"/>
  <c r="R36" i="16"/>
  <c r="Q36" i="16"/>
  <c r="R35" i="16"/>
  <c r="Q35" i="16"/>
  <c r="R34" i="16"/>
  <c r="Q34" i="16"/>
  <c r="R33" i="16"/>
  <c r="Q33" i="16"/>
  <c r="R32" i="16"/>
  <c r="Q32" i="16"/>
  <c r="R31" i="16"/>
  <c r="Q31" i="16"/>
  <c r="R30" i="16"/>
  <c r="Q30" i="16"/>
  <c r="R29" i="16"/>
  <c r="Q29" i="16"/>
  <c r="R28" i="16"/>
  <c r="Q28" i="16"/>
  <c r="R27" i="16"/>
  <c r="Q27" i="16"/>
  <c r="R26" i="16"/>
  <c r="Q26" i="16"/>
  <c r="R25" i="16"/>
  <c r="Q25" i="16"/>
  <c r="R24" i="16"/>
  <c r="Q24" i="16"/>
  <c r="R23" i="16"/>
  <c r="Q23" i="16"/>
  <c r="R22" i="16"/>
  <c r="Q22" i="16"/>
  <c r="R21" i="16"/>
  <c r="Q21" i="16"/>
  <c r="R20" i="16"/>
  <c r="Q20" i="16"/>
  <c r="R19" i="16"/>
  <c r="Q19" i="16"/>
  <c r="R18" i="16"/>
  <c r="Q18" i="16"/>
  <c r="R17" i="16"/>
  <c r="Q17" i="16"/>
  <c r="R16" i="16"/>
  <c r="Q16" i="16"/>
  <c r="R15" i="16"/>
  <c r="Q15" i="16"/>
  <c r="R14" i="16"/>
  <c r="Q14" i="16"/>
  <c r="R13" i="16"/>
  <c r="Q13" i="16"/>
  <c r="R12" i="16"/>
  <c r="Q12" i="16"/>
  <c r="R11" i="16"/>
  <c r="Q11" i="16"/>
  <c r="R10" i="16"/>
  <c r="Q10" i="16"/>
  <c r="R9" i="16"/>
  <c r="Q9" i="16"/>
  <c r="R8" i="16"/>
  <c r="Q8" i="16"/>
  <c r="D56" i="15"/>
  <c r="R54" i="15"/>
  <c r="Q54" i="15"/>
  <c r="R53" i="15"/>
  <c r="Q53" i="15"/>
  <c r="R52" i="15"/>
  <c r="Q52" i="15"/>
  <c r="R51" i="15"/>
  <c r="Q51" i="15"/>
  <c r="R50" i="15"/>
  <c r="Q50" i="15"/>
  <c r="R49" i="15"/>
  <c r="Q49" i="15"/>
  <c r="R48" i="15"/>
  <c r="Q48" i="15"/>
  <c r="R47" i="15"/>
  <c r="Q47" i="15"/>
  <c r="R46" i="15"/>
  <c r="Q46" i="15"/>
  <c r="R45" i="15"/>
  <c r="Q45" i="15"/>
  <c r="R44" i="15"/>
  <c r="Q44" i="15"/>
  <c r="R43" i="15"/>
  <c r="Q43" i="15"/>
  <c r="R42" i="15"/>
  <c r="Q42" i="15"/>
  <c r="R41" i="15"/>
  <c r="Q41" i="15"/>
  <c r="R40" i="15"/>
  <c r="Q40" i="15"/>
  <c r="R39" i="15"/>
  <c r="Q39" i="15"/>
  <c r="R38" i="15"/>
  <c r="Q38" i="15"/>
  <c r="R37" i="15"/>
  <c r="Q37" i="15"/>
  <c r="R36" i="15"/>
  <c r="Q36" i="15"/>
  <c r="R35" i="15"/>
  <c r="Q35" i="15"/>
  <c r="R34" i="15"/>
  <c r="Q34" i="15"/>
  <c r="R33" i="15"/>
  <c r="Q33" i="15"/>
  <c r="R32" i="15"/>
  <c r="Q32" i="15"/>
  <c r="R31" i="15"/>
  <c r="Q31" i="15"/>
  <c r="R30" i="15"/>
  <c r="Q30" i="15"/>
  <c r="R29" i="15"/>
  <c r="Q29" i="15"/>
  <c r="R28" i="15"/>
  <c r="Q28" i="15"/>
  <c r="R27" i="15"/>
  <c r="Q27" i="15"/>
  <c r="R26" i="15"/>
  <c r="Q26" i="15"/>
  <c r="R25" i="15"/>
  <c r="Q25" i="15"/>
  <c r="R24" i="15"/>
  <c r="Q24" i="15"/>
  <c r="R23" i="15"/>
  <c r="Q23" i="15"/>
  <c r="R22" i="15"/>
  <c r="Q22" i="15"/>
  <c r="R21" i="15"/>
  <c r="Q21" i="15"/>
  <c r="R20" i="15"/>
  <c r="Q20" i="15"/>
  <c r="R19" i="15"/>
  <c r="Q19" i="15"/>
  <c r="R18" i="15"/>
  <c r="Q18" i="15"/>
  <c r="R17" i="15"/>
  <c r="Q17" i="15"/>
  <c r="R16" i="15"/>
  <c r="Q16" i="15"/>
  <c r="R15" i="15"/>
  <c r="Q15" i="15"/>
  <c r="R14" i="15"/>
  <c r="Q14" i="15"/>
  <c r="R13" i="15"/>
  <c r="Q13" i="15"/>
  <c r="R12" i="15"/>
  <c r="Q12" i="15"/>
  <c r="R11" i="15"/>
  <c r="Q11" i="15"/>
  <c r="R10" i="15"/>
  <c r="Q10" i="15"/>
  <c r="R9" i="15"/>
  <c r="Q9" i="15"/>
  <c r="R8" i="15"/>
  <c r="Q8" i="15"/>
  <c r="S129" i="10"/>
  <c r="S127" i="10"/>
  <c r="S126" i="10"/>
  <c r="S125" i="10"/>
  <c r="S120" i="10"/>
  <c r="S119" i="10"/>
  <c r="S118" i="10"/>
  <c r="S117" i="10"/>
  <c r="H16" i="25" l="1"/>
  <c r="H4" i="25"/>
  <c r="I16" i="25"/>
  <c r="I4" i="25"/>
  <c r="J4" i="25"/>
  <c r="J16" i="25"/>
  <c r="K4" i="25"/>
  <c r="K16" i="25"/>
  <c r="D54" i="13"/>
  <c r="R52" i="13"/>
  <c r="Q52" i="13"/>
  <c r="R51" i="13"/>
  <c r="Q51" i="13"/>
  <c r="R50" i="13"/>
  <c r="Q50" i="13"/>
  <c r="R49" i="13"/>
  <c r="Q49" i="13"/>
  <c r="R48" i="13"/>
  <c r="Q48" i="13"/>
  <c r="R47" i="13"/>
  <c r="Q47" i="13"/>
  <c r="R46" i="13"/>
  <c r="Q46" i="13"/>
  <c r="R45" i="13"/>
  <c r="Q45" i="13"/>
  <c r="R44" i="13"/>
  <c r="Q44" i="13"/>
  <c r="R43" i="13"/>
  <c r="Q43" i="13"/>
  <c r="R42" i="13"/>
  <c r="Q42" i="13"/>
  <c r="R41" i="13"/>
  <c r="Q41" i="13"/>
  <c r="R40" i="13"/>
  <c r="Q40" i="13"/>
  <c r="R39" i="13"/>
  <c r="Q39" i="13"/>
  <c r="R38" i="13"/>
  <c r="Q38" i="13"/>
  <c r="R37" i="13"/>
  <c r="Q37" i="13"/>
  <c r="R36" i="13"/>
  <c r="Q36" i="13"/>
  <c r="R35" i="13"/>
  <c r="Q35" i="13"/>
  <c r="R34" i="13"/>
  <c r="Q34" i="13"/>
  <c r="R33" i="13"/>
  <c r="Q33" i="13"/>
  <c r="R32" i="13"/>
  <c r="Q32" i="13"/>
  <c r="R31" i="13"/>
  <c r="Q31" i="13"/>
  <c r="R30" i="13"/>
  <c r="Q30" i="13"/>
  <c r="R29" i="13"/>
  <c r="Q29" i="13"/>
  <c r="R28" i="13"/>
  <c r="Q28" i="13"/>
  <c r="R27" i="13"/>
  <c r="Q27" i="13"/>
  <c r="R26" i="13"/>
  <c r="Q26" i="13"/>
  <c r="R25" i="13"/>
  <c r="Q25" i="13"/>
  <c r="R24" i="13"/>
  <c r="Q24" i="13"/>
  <c r="R23" i="13"/>
  <c r="Q23" i="13"/>
  <c r="R22" i="13"/>
  <c r="Q22" i="13"/>
  <c r="R21" i="13"/>
  <c r="Q21" i="13"/>
  <c r="R20" i="13"/>
  <c r="Q20" i="13"/>
  <c r="R19" i="13"/>
  <c r="Q19" i="13"/>
  <c r="R18" i="13"/>
  <c r="Q18" i="13"/>
  <c r="R17" i="13"/>
  <c r="Q17" i="13"/>
  <c r="R16" i="13"/>
  <c r="Q16" i="13"/>
  <c r="R15" i="13"/>
  <c r="Q15" i="13"/>
  <c r="R14" i="13"/>
  <c r="Q14" i="13"/>
  <c r="R13" i="13"/>
  <c r="Q13" i="13"/>
  <c r="R12" i="13"/>
  <c r="Q12" i="13"/>
  <c r="R11" i="13"/>
  <c r="Q11" i="13"/>
  <c r="R10" i="13"/>
  <c r="Q10" i="13"/>
  <c r="R9" i="13"/>
  <c r="Q9" i="13"/>
  <c r="R8" i="13"/>
  <c r="Q8" i="13"/>
  <c r="R7" i="13"/>
  <c r="Q7" i="13"/>
  <c r="R6" i="13"/>
  <c r="Q6" i="13"/>
  <c r="D54" i="12"/>
  <c r="R52" i="12"/>
  <c r="Q52" i="12"/>
  <c r="R51" i="12"/>
  <c r="Q51" i="12"/>
  <c r="R50" i="12"/>
  <c r="Q50" i="12"/>
  <c r="R49" i="12"/>
  <c r="Q49" i="12"/>
  <c r="R48" i="12"/>
  <c r="Q48" i="12"/>
  <c r="R47" i="12"/>
  <c r="Q47" i="12"/>
  <c r="R46" i="12"/>
  <c r="Q46" i="12"/>
  <c r="R45" i="12"/>
  <c r="Q45" i="12"/>
  <c r="R44" i="12"/>
  <c r="Q44" i="12"/>
  <c r="R43" i="12"/>
  <c r="Q43" i="12"/>
  <c r="R42" i="12"/>
  <c r="Q42" i="12"/>
  <c r="R41" i="12"/>
  <c r="Q41" i="12"/>
  <c r="R40" i="12"/>
  <c r="Q40" i="12"/>
  <c r="R39" i="12"/>
  <c r="Q39" i="12"/>
  <c r="R38" i="12"/>
  <c r="Q38" i="12"/>
  <c r="R37" i="12"/>
  <c r="Q37" i="12"/>
  <c r="R36" i="12"/>
  <c r="Q36" i="12"/>
  <c r="R35" i="12"/>
  <c r="Q35" i="12"/>
  <c r="R34" i="12"/>
  <c r="Q34" i="12"/>
  <c r="R33" i="12"/>
  <c r="Q33" i="12"/>
  <c r="R32" i="12"/>
  <c r="Q32" i="12"/>
  <c r="R31" i="12"/>
  <c r="Q31" i="12"/>
  <c r="R30" i="12"/>
  <c r="Q30" i="12"/>
  <c r="R29" i="12"/>
  <c r="Q29" i="12"/>
  <c r="R28" i="12"/>
  <c r="Q28" i="12"/>
  <c r="R27" i="12"/>
  <c r="Q27" i="12"/>
  <c r="R26" i="12"/>
  <c r="Q26" i="12"/>
  <c r="R25" i="12"/>
  <c r="Q25" i="12"/>
  <c r="R24" i="12"/>
  <c r="Q24" i="12"/>
  <c r="R23" i="12"/>
  <c r="Q23" i="12"/>
  <c r="R22" i="12"/>
  <c r="Q22" i="12"/>
  <c r="R21" i="12"/>
  <c r="Q21" i="12"/>
  <c r="R20" i="12"/>
  <c r="Q20" i="12"/>
  <c r="R19" i="12"/>
  <c r="Q19" i="12"/>
  <c r="R18" i="12"/>
  <c r="Q18" i="12"/>
  <c r="R17" i="12"/>
  <c r="Q17" i="12"/>
  <c r="R16" i="12"/>
  <c r="Q16" i="12"/>
  <c r="R15" i="12"/>
  <c r="Q15" i="12"/>
  <c r="R14" i="12"/>
  <c r="Q14" i="12"/>
  <c r="R13" i="12"/>
  <c r="Q13" i="12"/>
  <c r="R12" i="12"/>
  <c r="Q12" i="12"/>
  <c r="R11" i="12"/>
  <c r="Q11" i="12"/>
  <c r="R10" i="12"/>
  <c r="Q10" i="12"/>
  <c r="R9" i="12"/>
  <c r="Q9" i="12"/>
  <c r="R8" i="12"/>
  <c r="Q8" i="12"/>
  <c r="R7" i="12"/>
  <c r="Q7" i="12"/>
  <c r="R6" i="12"/>
  <c r="Q6" i="12"/>
  <c r="O4" i="25" l="1"/>
  <c r="M4" i="25"/>
  <c r="N4" i="25"/>
  <c r="K17" i="25"/>
  <c r="K18" i="25" s="1"/>
  <c r="K19" i="25" s="1"/>
  <c r="M19" i="25" s="1"/>
  <c r="K22" i="25"/>
  <c r="K23" i="25" s="1"/>
  <c r="K24" i="25" s="1"/>
  <c r="K26" i="25" s="1"/>
  <c r="K28" i="25" s="1"/>
  <c r="K29" i="25" s="1"/>
  <c r="K30" i="25" s="1"/>
  <c r="J17" i="25"/>
  <c r="J18" i="25" s="1"/>
  <c r="J19" i="25" s="1"/>
  <c r="J22" i="25"/>
  <c r="J23" i="25" s="1"/>
  <c r="J24" i="25" s="1"/>
  <c r="J26" i="25" s="1"/>
  <c r="J28" i="25" s="1"/>
  <c r="I17" i="25"/>
  <c r="I18" i="25" s="1"/>
  <c r="I19" i="25" s="1"/>
  <c r="I22" i="25"/>
  <c r="I23" i="25" s="1"/>
  <c r="I24" i="25" s="1"/>
  <c r="I26" i="25" s="1"/>
  <c r="I28" i="25" s="1"/>
  <c r="H17" i="25"/>
  <c r="H18" i="25" s="1"/>
  <c r="H19" i="25" s="1"/>
  <c r="H22" i="25"/>
  <c r="H23" i="25" s="1"/>
  <c r="H24" i="25" s="1"/>
  <c r="H26" i="25" s="1"/>
  <c r="H28" i="25" s="1"/>
  <c r="C18" i="11"/>
  <c r="C13" i="11" l="1"/>
  <c r="O155" i="20" l="1"/>
  <c r="Q110" i="20"/>
  <c r="E110" i="20" s="1"/>
  <c r="R80" i="21"/>
  <c r="H80" i="21" s="1"/>
  <c r="R78" i="21"/>
  <c r="H78" i="21" s="1"/>
  <c r="R81" i="21"/>
  <c r="H81" i="21" s="1"/>
  <c r="R79" i="21"/>
  <c r="H79" i="21" s="1"/>
  <c r="D14" i="11"/>
  <c r="D15" i="11"/>
  <c r="D16" i="11"/>
  <c r="D17" i="11"/>
  <c r="D13" i="11"/>
  <c r="O154" i="21" l="1"/>
  <c r="T110" i="21"/>
  <c r="J110" i="21" s="1"/>
  <c r="D54" i="10"/>
  <c r="R52" i="10"/>
  <c r="Q52" i="10"/>
  <c r="R51" i="10"/>
  <c r="Q51" i="10"/>
  <c r="R50" i="10"/>
  <c r="Q50" i="10"/>
  <c r="R49" i="10"/>
  <c r="Q49" i="10"/>
  <c r="R48" i="10"/>
  <c r="Q48" i="10"/>
  <c r="R47" i="10"/>
  <c r="Q47" i="10"/>
  <c r="R46" i="10"/>
  <c r="Q46" i="10"/>
  <c r="R45" i="10"/>
  <c r="Q45" i="10"/>
  <c r="R44" i="10"/>
  <c r="Q44" i="10"/>
  <c r="R43" i="10"/>
  <c r="Q43" i="10"/>
  <c r="R42" i="10"/>
  <c r="Q42" i="10"/>
  <c r="T42" i="10" s="1"/>
  <c r="K42" i="10" s="1"/>
  <c r="R41" i="10"/>
  <c r="Q41" i="10"/>
  <c r="R40" i="10"/>
  <c r="Q40" i="10"/>
  <c r="R39" i="10"/>
  <c r="Q39" i="10"/>
  <c r="R38" i="10"/>
  <c r="Q38" i="10"/>
  <c r="R37" i="10"/>
  <c r="Q37" i="10"/>
  <c r="R36" i="10"/>
  <c r="Q36" i="10"/>
  <c r="R35" i="10"/>
  <c r="Q35" i="10"/>
  <c r="R34" i="10"/>
  <c r="Q34" i="10"/>
  <c r="R33" i="10"/>
  <c r="Q33" i="10"/>
  <c r="R32" i="10"/>
  <c r="Q32" i="10"/>
  <c r="R31" i="10"/>
  <c r="Q31" i="10"/>
  <c r="R30" i="10"/>
  <c r="Q30" i="10"/>
  <c r="R29" i="10"/>
  <c r="Q29" i="10"/>
  <c r="R28" i="10"/>
  <c r="Q28" i="10"/>
  <c r="R27" i="10"/>
  <c r="Q27" i="10"/>
  <c r="R26" i="10"/>
  <c r="Q26" i="10"/>
  <c r="R25" i="10"/>
  <c r="Q25" i="10"/>
  <c r="R24" i="10"/>
  <c r="Q24" i="10"/>
  <c r="R23" i="10"/>
  <c r="Q23" i="10"/>
  <c r="R22" i="10"/>
  <c r="Q22" i="10"/>
  <c r="R21" i="10"/>
  <c r="Q21" i="10"/>
  <c r="R20" i="10"/>
  <c r="Q20" i="10"/>
  <c r="R19" i="10"/>
  <c r="Q19" i="10"/>
  <c r="R18" i="10"/>
  <c r="Q18" i="10"/>
  <c r="R17" i="10"/>
  <c r="Q17" i="10"/>
  <c r="R16" i="10"/>
  <c r="Q16" i="10"/>
  <c r="S16" i="10" s="1"/>
  <c r="I16" i="10" s="1"/>
  <c r="R15" i="10"/>
  <c r="Q15" i="10"/>
  <c r="R14" i="10"/>
  <c r="Q14" i="10"/>
  <c r="R13" i="10"/>
  <c r="Q13" i="10"/>
  <c r="R12" i="10"/>
  <c r="Q12" i="10"/>
  <c r="R11" i="10"/>
  <c r="Q11" i="10"/>
  <c r="R10" i="10"/>
  <c r="Q10" i="10"/>
  <c r="R9" i="10"/>
  <c r="Q9" i="10"/>
  <c r="R8" i="10"/>
  <c r="Q8" i="10"/>
  <c r="R7" i="10"/>
  <c r="Q7" i="10"/>
  <c r="R6" i="10"/>
  <c r="Q6" i="10"/>
  <c r="X131" i="9"/>
  <c r="R126" i="9"/>
  <c r="R125" i="9"/>
  <c r="X124" i="9"/>
  <c r="R121" i="9"/>
  <c r="F121" i="9"/>
  <c r="R120" i="9"/>
  <c r="F120" i="9"/>
  <c r="F119" i="9"/>
  <c r="R119" i="9" s="1"/>
  <c r="F118" i="9"/>
  <c r="R118" i="9" s="1"/>
  <c r="R94" i="9"/>
  <c r="J94" i="9"/>
  <c r="J93" i="9"/>
  <c r="R93" i="9" s="1"/>
  <c r="R92" i="9"/>
  <c r="J92" i="9"/>
  <c r="R91" i="9"/>
  <c r="K91" i="9"/>
  <c r="K89" i="9"/>
  <c r="R90" i="9" s="1"/>
  <c r="J89" i="9"/>
  <c r="R89" i="9" s="1"/>
  <c r="R88" i="9"/>
  <c r="J88" i="9"/>
  <c r="R80" i="9"/>
  <c r="R71" i="9"/>
  <c r="Q53" i="9"/>
  <c r="P53" i="9"/>
  <c r="L53" i="9"/>
  <c r="U53" i="9" s="1"/>
  <c r="K53" i="9"/>
  <c r="T53" i="9" s="1"/>
  <c r="J53" i="9"/>
  <c r="S53" i="9" s="1"/>
  <c r="I53" i="9"/>
  <c r="R53" i="9" s="1"/>
  <c r="Q52" i="9"/>
  <c r="P52" i="9"/>
  <c r="L52" i="9"/>
  <c r="U52" i="9" s="1"/>
  <c r="K52" i="9"/>
  <c r="T52" i="9" s="1"/>
  <c r="J52" i="9"/>
  <c r="S52" i="9" s="1"/>
  <c r="I52" i="9"/>
  <c r="R52" i="9" s="1"/>
  <c r="Q51" i="9"/>
  <c r="P51" i="9"/>
  <c r="L51" i="9"/>
  <c r="U51" i="9" s="1"/>
  <c r="K51" i="9"/>
  <c r="T51" i="9" s="1"/>
  <c r="J51" i="9"/>
  <c r="S51" i="9" s="1"/>
  <c r="I51" i="9"/>
  <c r="R51" i="9" s="1"/>
  <c r="Q50" i="9"/>
  <c r="P50" i="9"/>
  <c r="Q49" i="9"/>
  <c r="P49" i="9"/>
  <c r="N49" i="9"/>
  <c r="W49" i="9" s="1"/>
  <c r="M49" i="9"/>
  <c r="V49" i="9" s="1"/>
  <c r="L49" i="9"/>
  <c r="U49" i="9" s="1"/>
  <c r="K49" i="9"/>
  <c r="T49" i="9" s="1"/>
  <c r="J49" i="9"/>
  <c r="S49" i="9" s="1"/>
  <c r="I49" i="9"/>
  <c r="R49" i="9" s="1"/>
  <c r="Q48" i="9"/>
  <c r="P48" i="9"/>
  <c r="O48" i="9"/>
  <c r="X48" i="9" s="1"/>
  <c r="N48" i="9"/>
  <c r="W48" i="9" s="1"/>
  <c r="M48" i="9"/>
  <c r="V48" i="9" s="1"/>
  <c r="L48" i="9"/>
  <c r="U48" i="9" s="1"/>
  <c r="K48" i="9"/>
  <c r="T48" i="9" s="1"/>
  <c r="J48" i="9"/>
  <c r="S48" i="9" s="1"/>
  <c r="I48" i="9"/>
  <c r="R48" i="9" s="1"/>
  <c r="Q47" i="9"/>
  <c r="P47" i="9"/>
  <c r="K47" i="9"/>
  <c r="T47" i="9" s="1"/>
  <c r="J47" i="9"/>
  <c r="S47" i="9" s="1"/>
  <c r="I47" i="9"/>
  <c r="R47" i="9" s="1"/>
  <c r="Q46" i="9"/>
  <c r="P46" i="9"/>
  <c r="I46" i="9"/>
  <c r="R46" i="9" s="1"/>
  <c r="Q45" i="9"/>
  <c r="P45" i="9"/>
  <c r="L45" i="9"/>
  <c r="U45" i="9" s="1"/>
  <c r="K45" i="9"/>
  <c r="T45" i="9" s="1"/>
  <c r="J45" i="9"/>
  <c r="S45" i="9" s="1"/>
  <c r="I45" i="9"/>
  <c r="R45" i="9" s="1"/>
  <c r="Q44" i="9"/>
  <c r="P44" i="9"/>
  <c r="K44" i="9"/>
  <c r="T44" i="9" s="1"/>
  <c r="J44" i="9"/>
  <c r="S44" i="9" s="1"/>
  <c r="I44" i="9"/>
  <c r="R44" i="9" s="1"/>
  <c r="S43" i="9"/>
  <c r="R43" i="9"/>
  <c r="Q43" i="9"/>
  <c r="P43" i="9"/>
  <c r="Q42" i="9"/>
  <c r="P42" i="9"/>
  <c r="I42" i="9"/>
  <c r="R42" i="9" s="1"/>
  <c r="X41" i="9"/>
  <c r="W41" i="9"/>
  <c r="V41" i="9"/>
  <c r="Q41" i="9"/>
  <c r="P41" i="9"/>
  <c r="L41" i="9"/>
  <c r="U41" i="9" s="1"/>
  <c r="K41" i="9"/>
  <c r="T41" i="9" s="1"/>
  <c r="J41" i="9"/>
  <c r="S41" i="9" s="1"/>
  <c r="I41" i="9"/>
  <c r="R41" i="9" s="1"/>
  <c r="X40" i="9"/>
  <c r="Q40" i="9"/>
  <c r="P40" i="9"/>
  <c r="N40" i="9"/>
  <c r="W40" i="9" s="1"/>
  <c r="M40" i="9"/>
  <c r="V40" i="9" s="1"/>
  <c r="L40" i="9"/>
  <c r="U40" i="9" s="1"/>
  <c r="K40" i="9"/>
  <c r="T40" i="9" s="1"/>
  <c r="J40" i="9"/>
  <c r="S40" i="9" s="1"/>
  <c r="I40" i="9"/>
  <c r="R40" i="9" s="1"/>
  <c r="Q39" i="9"/>
  <c r="P39" i="9"/>
  <c r="I39" i="9"/>
  <c r="R39" i="9" s="1"/>
  <c r="Q38" i="9"/>
  <c r="P38" i="9"/>
  <c r="I38" i="9"/>
  <c r="R38" i="9" s="1"/>
  <c r="Q37" i="9"/>
  <c r="P37" i="9"/>
  <c r="I37" i="9"/>
  <c r="R37" i="9" s="1"/>
  <c r="Q36" i="9"/>
  <c r="P36" i="9"/>
  <c r="I36" i="9"/>
  <c r="R36" i="9" s="1"/>
  <c r="Q35" i="9"/>
  <c r="P35" i="9"/>
  <c r="I35" i="9"/>
  <c r="R35" i="9" s="1"/>
  <c r="Q34" i="9"/>
  <c r="P34" i="9"/>
  <c r="I34" i="9"/>
  <c r="R34" i="9" s="1"/>
  <c r="Q33" i="9"/>
  <c r="P33" i="9"/>
  <c r="I33" i="9"/>
  <c r="R33" i="9" s="1"/>
  <c r="Q32" i="9"/>
  <c r="P32" i="9"/>
  <c r="L32" i="9"/>
  <c r="U32" i="9" s="1"/>
  <c r="K32" i="9"/>
  <c r="T32" i="9" s="1"/>
  <c r="J32" i="9"/>
  <c r="S32" i="9" s="1"/>
  <c r="I32" i="9"/>
  <c r="R32" i="9" s="1"/>
  <c r="Q31" i="9"/>
  <c r="P31" i="9"/>
  <c r="L31" i="9"/>
  <c r="U31" i="9" s="1"/>
  <c r="K31" i="9"/>
  <c r="T31" i="9" s="1"/>
  <c r="J31" i="9"/>
  <c r="S31" i="9" s="1"/>
  <c r="I31" i="9"/>
  <c r="R31" i="9" s="1"/>
  <c r="Q30" i="9"/>
  <c r="P30" i="9"/>
  <c r="L30" i="9"/>
  <c r="U30" i="9" s="1"/>
  <c r="K30" i="9"/>
  <c r="T30" i="9" s="1"/>
  <c r="J30" i="9"/>
  <c r="S30" i="9" s="1"/>
  <c r="I30" i="9"/>
  <c r="R30" i="9" s="1"/>
  <c r="Q29" i="9"/>
  <c r="P29" i="9"/>
  <c r="I29" i="9"/>
  <c r="R29" i="9" s="1"/>
  <c r="Q28" i="9"/>
  <c r="P28" i="9"/>
  <c r="L28" i="9"/>
  <c r="U28" i="9" s="1"/>
  <c r="K28" i="9"/>
  <c r="T28" i="9" s="1"/>
  <c r="J28" i="9"/>
  <c r="S28" i="9" s="1"/>
  <c r="I28" i="9"/>
  <c r="R28" i="9" s="1"/>
  <c r="Q27" i="9"/>
  <c r="P27" i="9"/>
  <c r="L27" i="9"/>
  <c r="U27" i="9" s="1"/>
  <c r="K27" i="9"/>
  <c r="T27" i="9" s="1"/>
  <c r="J27" i="9"/>
  <c r="S27" i="9" s="1"/>
  <c r="I27" i="9"/>
  <c r="R27" i="9" s="1"/>
  <c r="Q26" i="9"/>
  <c r="P26" i="9"/>
  <c r="L26" i="9"/>
  <c r="U26" i="9" s="1"/>
  <c r="K26" i="9"/>
  <c r="T26" i="9" s="1"/>
  <c r="J26" i="9"/>
  <c r="S26" i="9" s="1"/>
  <c r="I26" i="9"/>
  <c r="R26" i="9" s="1"/>
  <c r="Q25" i="9"/>
  <c r="P25" i="9"/>
  <c r="I25" i="9"/>
  <c r="R25" i="9" s="1"/>
  <c r="Q24" i="9"/>
  <c r="P24" i="9"/>
  <c r="L24" i="9"/>
  <c r="U24" i="9" s="1"/>
  <c r="K24" i="9"/>
  <c r="T24" i="9" s="1"/>
  <c r="J24" i="9"/>
  <c r="S24" i="9" s="1"/>
  <c r="I24" i="9"/>
  <c r="R24" i="9" s="1"/>
  <c r="Q23" i="9"/>
  <c r="P23" i="9"/>
  <c r="L23" i="9"/>
  <c r="U23" i="9" s="1"/>
  <c r="K23" i="9"/>
  <c r="T23" i="9" s="1"/>
  <c r="J23" i="9"/>
  <c r="S23" i="9" s="1"/>
  <c r="I23" i="9"/>
  <c r="R23" i="9" s="1"/>
  <c r="Q22" i="9"/>
  <c r="P22" i="9"/>
  <c r="I22" i="9"/>
  <c r="R22" i="9" s="1"/>
  <c r="Q21" i="9"/>
  <c r="P21" i="9"/>
  <c r="L21" i="9"/>
  <c r="U21" i="9" s="1"/>
  <c r="K21" i="9"/>
  <c r="T21" i="9" s="1"/>
  <c r="J21" i="9"/>
  <c r="S21" i="9" s="1"/>
  <c r="I21" i="9"/>
  <c r="R21" i="9" s="1"/>
  <c r="Q20" i="9"/>
  <c r="P20" i="9"/>
  <c r="L20" i="9"/>
  <c r="U20" i="9" s="1"/>
  <c r="K20" i="9"/>
  <c r="T20" i="9" s="1"/>
  <c r="J20" i="9"/>
  <c r="S20" i="9" s="1"/>
  <c r="I20" i="9"/>
  <c r="R20" i="9" s="1"/>
  <c r="Q19" i="9"/>
  <c r="P19" i="9"/>
  <c r="L19" i="9"/>
  <c r="U19" i="9" s="1"/>
  <c r="K19" i="9"/>
  <c r="T19" i="9" s="1"/>
  <c r="J19" i="9"/>
  <c r="S19" i="9" s="1"/>
  <c r="I19" i="9"/>
  <c r="R19" i="9" s="1"/>
  <c r="Q18" i="9"/>
  <c r="P18" i="9"/>
  <c r="L18" i="9"/>
  <c r="U18" i="9" s="1"/>
  <c r="K18" i="9"/>
  <c r="T18" i="9" s="1"/>
  <c r="J18" i="9"/>
  <c r="S18" i="9" s="1"/>
  <c r="I18" i="9"/>
  <c r="R18" i="9" s="1"/>
  <c r="U17" i="9"/>
  <c r="Q17" i="9"/>
  <c r="P17" i="9"/>
  <c r="K17" i="9"/>
  <c r="T17" i="9" s="1"/>
  <c r="J17" i="9"/>
  <c r="S17" i="9" s="1"/>
  <c r="I17" i="9"/>
  <c r="R17" i="9" s="1"/>
  <c r="U16" i="9"/>
  <c r="Q16" i="9"/>
  <c r="P16" i="9"/>
  <c r="K16" i="9"/>
  <c r="T16" i="9" s="1"/>
  <c r="J16" i="9"/>
  <c r="S16" i="9" s="1"/>
  <c r="I16" i="9"/>
  <c r="R16" i="9" s="1"/>
  <c r="R15" i="9"/>
  <c r="Q15" i="9"/>
  <c r="P15" i="9"/>
  <c r="Q14" i="9"/>
  <c r="P14" i="9"/>
  <c r="L14" i="9"/>
  <c r="U14" i="9" s="1"/>
  <c r="K14" i="9"/>
  <c r="T14" i="9" s="1"/>
  <c r="J14" i="9"/>
  <c r="S14" i="9" s="1"/>
  <c r="I14" i="9"/>
  <c r="R14" i="9" s="1"/>
  <c r="Q13" i="9"/>
  <c r="P13" i="9"/>
  <c r="L13" i="9"/>
  <c r="U13" i="9" s="1"/>
  <c r="K13" i="9"/>
  <c r="T13" i="9" s="1"/>
  <c r="J13" i="9"/>
  <c r="S13" i="9" s="1"/>
  <c r="I13" i="9"/>
  <c r="R13" i="9" s="1"/>
  <c r="Q12" i="9"/>
  <c r="P12" i="9"/>
  <c r="L12" i="9"/>
  <c r="U12" i="9" s="1"/>
  <c r="K12" i="9"/>
  <c r="T12" i="9" s="1"/>
  <c r="J12" i="9"/>
  <c r="S12" i="9" s="1"/>
  <c r="I12" i="9"/>
  <c r="R12" i="9" s="1"/>
  <c r="Q11" i="9"/>
  <c r="P11" i="9"/>
  <c r="L11" i="9"/>
  <c r="U11" i="9" s="1"/>
  <c r="K11" i="9"/>
  <c r="T11" i="9" s="1"/>
  <c r="J11" i="9"/>
  <c r="S11" i="9" s="1"/>
  <c r="I11" i="9"/>
  <c r="R11" i="9" s="1"/>
  <c r="Q10" i="9"/>
  <c r="P10" i="9"/>
  <c r="I10" i="9"/>
  <c r="R10" i="9" s="1"/>
  <c r="Q9" i="9"/>
  <c r="P9" i="9"/>
  <c r="L9" i="9"/>
  <c r="U9" i="9" s="1"/>
  <c r="K9" i="9"/>
  <c r="T9" i="9" s="1"/>
  <c r="J9" i="9"/>
  <c r="S9" i="9" s="1"/>
  <c r="I9" i="9"/>
  <c r="R9" i="9" s="1"/>
  <c r="Q8" i="9"/>
  <c r="P8" i="9"/>
  <c r="L8" i="9"/>
  <c r="U8" i="9" s="1"/>
  <c r="K8" i="9"/>
  <c r="T8" i="9" s="1"/>
  <c r="J8" i="9"/>
  <c r="S8" i="9" s="1"/>
  <c r="I8" i="9"/>
  <c r="R8" i="9" s="1"/>
  <c r="Q7" i="9"/>
  <c r="P7" i="9"/>
  <c r="L7" i="9"/>
  <c r="U7" i="9" s="1"/>
  <c r="K7" i="9"/>
  <c r="T7" i="9" s="1"/>
  <c r="J7" i="9"/>
  <c r="S7" i="9" s="1"/>
  <c r="I7" i="9"/>
  <c r="R7" i="9" s="1"/>
  <c r="Q6" i="9"/>
  <c r="P6" i="9"/>
  <c r="I6" i="9"/>
  <c r="R6" i="9" s="1"/>
  <c r="S42" i="10" l="1"/>
  <c r="I42" i="10" s="1"/>
  <c r="T42" i="4"/>
  <c r="S16" i="4"/>
  <c r="S16" i="13" l="1"/>
  <c r="S16" i="12"/>
  <c r="S18" i="15" s="1"/>
  <c r="T42" i="13"/>
  <c r="T42" i="12"/>
  <c r="T44" i="15" s="1"/>
  <c r="K42" i="4"/>
  <c r="S42" i="4"/>
  <c r="D54" i="4"/>
  <c r="K44" i="16" l="1"/>
  <c r="S18" i="16"/>
  <c r="S42" i="12"/>
  <c r="S44" i="15" s="1"/>
  <c r="S42" i="13"/>
  <c r="K42" i="12"/>
  <c r="I16" i="12"/>
  <c r="I42" i="4"/>
  <c r="Q7" i="4"/>
  <c r="R7" i="4"/>
  <c r="Q8" i="4"/>
  <c r="R8" i="4"/>
  <c r="Q9" i="4"/>
  <c r="R9" i="4"/>
  <c r="Q10" i="4"/>
  <c r="R10" i="4"/>
  <c r="Q11" i="4"/>
  <c r="R11" i="4"/>
  <c r="Q12" i="4"/>
  <c r="R12" i="4"/>
  <c r="Q13" i="4"/>
  <c r="R13" i="4"/>
  <c r="Q14" i="4"/>
  <c r="R14" i="4"/>
  <c r="Q15" i="4"/>
  <c r="R15" i="4"/>
  <c r="Q16" i="4"/>
  <c r="R16" i="4"/>
  <c r="Q17" i="4"/>
  <c r="R17" i="4"/>
  <c r="Q18" i="4"/>
  <c r="R18" i="4"/>
  <c r="Q19" i="4"/>
  <c r="R19" i="4"/>
  <c r="Q20" i="4"/>
  <c r="R20" i="4"/>
  <c r="Q21" i="4"/>
  <c r="R21" i="4"/>
  <c r="Q22" i="4"/>
  <c r="R22" i="4"/>
  <c r="Q23" i="4"/>
  <c r="R23" i="4"/>
  <c r="Q24" i="4"/>
  <c r="R24" i="4"/>
  <c r="Q25" i="4"/>
  <c r="R25" i="4"/>
  <c r="Q26" i="4"/>
  <c r="R26" i="4"/>
  <c r="Q27" i="4"/>
  <c r="R27" i="4"/>
  <c r="Q28" i="4"/>
  <c r="R28" i="4"/>
  <c r="Q29" i="4"/>
  <c r="R29" i="4"/>
  <c r="Q30" i="4"/>
  <c r="R30" i="4"/>
  <c r="Q31" i="4"/>
  <c r="R31" i="4"/>
  <c r="Q32" i="4"/>
  <c r="R32" i="4"/>
  <c r="Q33" i="4"/>
  <c r="R33" i="4"/>
  <c r="Q34" i="4"/>
  <c r="R34" i="4"/>
  <c r="Q35" i="4"/>
  <c r="R35" i="4"/>
  <c r="Q36" i="4"/>
  <c r="R36" i="4"/>
  <c r="Q37" i="4"/>
  <c r="R37" i="4"/>
  <c r="Q38" i="4"/>
  <c r="R38" i="4"/>
  <c r="Q39" i="4"/>
  <c r="R39" i="4"/>
  <c r="Q40" i="4"/>
  <c r="R40" i="4"/>
  <c r="Q41" i="4"/>
  <c r="R41" i="4"/>
  <c r="Q42" i="4"/>
  <c r="R42" i="4"/>
  <c r="Q43" i="4"/>
  <c r="R43" i="4"/>
  <c r="Q44" i="4"/>
  <c r="R44" i="4"/>
  <c r="Q45" i="4"/>
  <c r="R45" i="4"/>
  <c r="Q46" i="4"/>
  <c r="R46" i="4"/>
  <c r="Q47" i="4"/>
  <c r="R47" i="4"/>
  <c r="Q48" i="4"/>
  <c r="R48" i="4"/>
  <c r="Q49" i="4"/>
  <c r="R49" i="4"/>
  <c r="Q50" i="4"/>
  <c r="R50" i="4"/>
  <c r="Q51" i="4"/>
  <c r="R51" i="4"/>
  <c r="Q52" i="4"/>
  <c r="R52" i="4"/>
  <c r="R6" i="4"/>
  <c r="Q6" i="4"/>
  <c r="Z18" i="16" l="1"/>
  <c r="I18" i="16"/>
  <c r="J44" i="16"/>
  <c r="L44" i="16"/>
  <c r="I18" i="15"/>
  <c r="K44" i="15"/>
  <c r="I42" i="12"/>
  <c r="R125" i="3"/>
  <c r="R126" i="3" s="1"/>
  <c r="P7" i="3"/>
  <c r="Q7" i="3"/>
  <c r="P8" i="3"/>
  <c r="Q8" i="3"/>
  <c r="P9" i="3"/>
  <c r="Q9" i="3"/>
  <c r="P10" i="3"/>
  <c r="Q10" i="3"/>
  <c r="P11" i="3"/>
  <c r="Q11" i="3"/>
  <c r="P12" i="3"/>
  <c r="Q12" i="3"/>
  <c r="P13" i="3"/>
  <c r="Q13" i="3"/>
  <c r="P14" i="3"/>
  <c r="Q14" i="3"/>
  <c r="P15" i="3"/>
  <c r="Q15" i="3"/>
  <c r="P16" i="3"/>
  <c r="Q16" i="3"/>
  <c r="P17" i="3"/>
  <c r="Q17" i="3"/>
  <c r="P18" i="3"/>
  <c r="Q18" i="3"/>
  <c r="P19" i="3"/>
  <c r="Q19" i="3"/>
  <c r="P20" i="3"/>
  <c r="Q20" i="3"/>
  <c r="P21" i="3"/>
  <c r="Q21" i="3"/>
  <c r="P22" i="3"/>
  <c r="Q22" i="3"/>
  <c r="P23" i="3"/>
  <c r="Q23" i="3"/>
  <c r="P24" i="3"/>
  <c r="Q24" i="3"/>
  <c r="P25" i="3"/>
  <c r="Q25" i="3"/>
  <c r="P26" i="3"/>
  <c r="Q26" i="3"/>
  <c r="P27" i="3"/>
  <c r="Q27" i="3"/>
  <c r="P28" i="3"/>
  <c r="Q28" i="3"/>
  <c r="P29" i="3"/>
  <c r="Q29" i="3"/>
  <c r="P30" i="3"/>
  <c r="Q30" i="3"/>
  <c r="P31" i="3"/>
  <c r="Q31" i="3"/>
  <c r="P32" i="3"/>
  <c r="Q32" i="3"/>
  <c r="P33" i="3"/>
  <c r="Q33" i="3"/>
  <c r="P34" i="3"/>
  <c r="Q34" i="3"/>
  <c r="P35" i="3"/>
  <c r="Q35" i="3"/>
  <c r="P36" i="3"/>
  <c r="Q36" i="3"/>
  <c r="P37" i="3"/>
  <c r="Q37" i="3"/>
  <c r="P38" i="3"/>
  <c r="Q38" i="3"/>
  <c r="P39" i="3"/>
  <c r="Q39" i="3"/>
  <c r="P40" i="3"/>
  <c r="Q40" i="3"/>
  <c r="P41" i="3"/>
  <c r="Q41" i="3"/>
  <c r="P42" i="3"/>
  <c r="Q42" i="3"/>
  <c r="P43" i="3"/>
  <c r="Q43" i="3"/>
  <c r="P44" i="3"/>
  <c r="Q44" i="3"/>
  <c r="P45" i="3"/>
  <c r="Q45" i="3"/>
  <c r="P46" i="3"/>
  <c r="Q46" i="3"/>
  <c r="P47" i="3"/>
  <c r="Q47" i="3"/>
  <c r="P48" i="3"/>
  <c r="Q48" i="3"/>
  <c r="P49" i="3"/>
  <c r="Q49" i="3"/>
  <c r="P50" i="3"/>
  <c r="Q50" i="3"/>
  <c r="P51" i="3"/>
  <c r="Q51" i="3"/>
  <c r="P52" i="3"/>
  <c r="Q52" i="3"/>
  <c r="P53" i="3"/>
  <c r="Q53" i="3"/>
  <c r="Q6" i="3"/>
  <c r="P6" i="3"/>
  <c r="R50" i="3"/>
  <c r="S49" i="4" s="1"/>
  <c r="R15" i="3"/>
  <c r="U16" i="3"/>
  <c r="U17" i="3"/>
  <c r="X40" i="3"/>
  <c r="V41" i="3"/>
  <c r="W41" i="3"/>
  <c r="X41" i="3"/>
  <c r="J18" i="16" l="1"/>
  <c r="L18" i="16"/>
  <c r="I44" i="16"/>
  <c r="M44" i="16"/>
  <c r="I44" i="15"/>
  <c r="S93" i="10"/>
  <c r="L92" i="10" s="1"/>
  <c r="S92" i="10"/>
  <c r="L91" i="10" s="1"/>
  <c r="S91" i="10"/>
  <c r="M90" i="10" s="1"/>
  <c r="S89" i="10"/>
  <c r="M88" i="10" s="1"/>
  <c r="S88" i="10"/>
  <c r="L88" i="10" s="1"/>
  <c r="S87" i="10"/>
  <c r="L87" i="10" s="1"/>
  <c r="S83" i="10"/>
  <c r="H83" i="10" s="1"/>
  <c r="S70" i="10"/>
  <c r="H70" i="10" s="1"/>
  <c r="S80" i="10"/>
  <c r="D80" i="10" s="1"/>
  <c r="S94" i="10"/>
  <c r="L93" i="10" s="1"/>
  <c r="S75" i="10"/>
  <c r="D76" i="10" s="1"/>
  <c r="S49" i="10"/>
  <c r="S126" i="4"/>
  <c r="S88" i="4"/>
  <c r="S127" i="4"/>
  <c r="S87" i="4"/>
  <c r="S92" i="4"/>
  <c r="S89" i="4"/>
  <c r="S125" i="4"/>
  <c r="S83" i="4"/>
  <c r="S119" i="4"/>
  <c r="S75" i="4"/>
  <c r="S70" i="4"/>
  <c r="S129" i="4"/>
  <c r="S120" i="4"/>
  <c r="S80" i="4"/>
  <c r="S118" i="4"/>
  <c r="S91" i="4"/>
  <c r="S117" i="4"/>
  <c r="S94" i="4"/>
  <c r="S93" i="4"/>
  <c r="I16" i="4"/>
  <c r="K18" i="16" l="1"/>
  <c r="S94" i="12"/>
  <c r="S94" i="13"/>
  <c r="S120" i="13"/>
  <c r="S120" i="12"/>
  <c r="S129" i="13"/>
  <c r="D130" i="13" s="1"/>
  <c r="S129" i="12"/>
  <c r="D130" i="12" s="1"/>
  <c r="S70" i="12"/>
  <c r="S70" i="13"/>
  <c r="S75" i="13"/>
  <c r="S75" i="12"/>
  <c r="S119" i="13"/>
  <c r="S119" i="12"/>
  <c r="S93" i="12"/>
  <c r="S93" i="13"/>
  <c r="S125" i="13"/>
  <c r="S125" i="12"/>
  <c r="S83" i="13"/>
  <c r="S83" i="12"/>
  <c r="S117" i="13"/>
  <c r="S117" i="12"/>
  <c r="S92" i="13"/>
  <c r="S92" i="12"/>
  <c r="S91" i="12"/>
  <c r="S91" i="13"/>
  <c r="S87" i="13"/>
  <c r="S87" i="12"/>
  <c r="S89" i="13"/>
  <c r="S89" i="12"/>
  <c r="S118" i="13"/>
  <c r="S118" i="12"/>
  <c r="S127" i="13"/>
  <c r="S127" i="12"/>
  <c r="S80" i="13"/>
  <c r="S80" i="12"/>
  <c r="S88" i="13"/>
  <c r="S88" i="12"/>
  <c r="S126" i="13"/>
  <c r="S126" i="12"/>
  <c r="E120" i="4"/>
  <c r="E118" i="4"/>
  <c r="L88" i="4"/>
  <c r="L92" i="4"/>
  <c r="D80" i="4"/>
  <c r="H70" i="4"/>
  <c r="D76" i="4"/>
  <c r="E119" i="4"/>
  <c r="H123" i="4"/>
  <c r="L93" i="4"/>
  <c r="M88" i="4"/>
  <c r="E117" i="4"/>
  <c r="L91" i="4"/>
  <c r="H83" i="4"/>
  <c r="M90" i="4"/>
  <c r="L87" i="4"/>
  <c r="I44" i="3"/>
  <c r="R44" i="3" s="1"/>
  <c r="J44" i="3"/>
  <c r="S44" i="3" s="1"/>
  <c r="K44" i="3"/>
  <c r="T44" i="3" s="1"/>
  <c r="I51" i="3"/>
  <c r="R51" i="3" s="1"/>
  <c r="J51" i="3"/>
  <c r="S51" i="3" s="1"/>
  <c r="K51" i="3"/>
  <c r="T51" i="3" s="1"/>
  <c r="L51" i="3"/>
  <c r="U51" i="3" s="1"/>
  <c r="S90" i="15" l="1"/>
  <c r="S121" i="15"/>
  <c r="S93" i="15"/>
  <c r="S82" i="15"/>
  <c r="S94" i="15"/>
  <c r="S77" i="15"/>
  <c r="S129" i="15"/>
  <c r="S119" i="15"/>
  <c r="S72" i="15"/>
  <c r="S131" i="15"/>
  <c r="S120" i="15"/>
  <c r="S91" i="15"/>
  <c r="S127" i="15"/>
  <c r="S122" i="15"/>
  <c r="S85" i="15"/>
  <c r="S128" i="15"/>
  <c r="S89" i="15"/>
  <c r="S95" i="15"/>
  <c r="S96" i="15"/>
  <c r="H123" i="12"/>
  <c r="E120" i="12"/>
  <c r="D76" i="12"/>
  <c r="L88" i="12"/>
  <c r="D80" i="12"/>
  <c r="L92" i="12"/>
  <c r="E117" i="12"/>
  <c r="M90" i="12"/>
  <c r="L93" i="12"/>
  <c r="E118" i="12"/>
  <c r="L91" i="12"/>
  <c r="L87" i="12"/>
  <c r="E119" i="12"/>
  <c r="M88" i="12"/>
  <c r="H83" i="12"/>
  <c r="H70" i="12"/>
  <c r="T50" i="10"/>
  <c r="J50" i="10" s="1"/>
  <c r="U43" i="10"/>
  <c r="K43" i="10" s="1"/>
  <c r="S43" i="10"/>
  <c r="I43" i="10" s="1"/>
  <c r="U50" i="10"/>
  <c r="K50" i="10" s="1"/>
  <c r="S50" i="10"/>
  <c r="I50" i="10" s="1"/>
  <c r="T43" i="10"/>
  <c r="J43" i="10" s="1"/>
  <c r="V50" i="10"/>
  <c r="L50" i="10" s="1"/>
  <c r="S50" i="4"/>
  <c r="T43" i="4"/>
  <c r="U50" i="4"/>
  <c r="T50" i="4"/>
  <c r="S43" i="4"/>
  <c r="V50" i="4"/>
  <c r="U43" i="4"/>
  <c r="S43" i="3"/>
  <c r="O47" i="2"/>
  <c r="O48" i="3" s="1"/>
  <c r="N47" i="2"/>
  <c r="N48" i="3" s="1"/>
  <c r="S99" i="16" l="1"/>
  <c r="S131" i="16"/>
  <c r="S140" i="16"/>
  <c r="S139" i="16"/>
  <c r="S89" i="16"/>
  <c r="D89" i="16" s="1"/>
  <c r="S105" i="16"/>
  <c r="S133" i="16"/>
  <c r="T50" i="13"/>
  <c r="T50" i="12"/>
  <c r="T52" i="15" s="1"/>
  <c r="U50" i="13"/>
  <c r="U50" i="12"/>
  <c r="U52" i="15" s="1"/>
  <c r="T43" i="13"/>
  <c r="T43" i="12"/>
  <c r="T45" i="15" s="1"/>
  <c r="S43" i="12"/>
  <c r="S45" i="15" s="1"/>
  <c r="S43" i="13"/>
  <c r="S50" i="13"/>
  <c r="S50" i="12"/>
  <c r="S52" i="15" s="1"/>
  <c r="V50" i="13"/>
  <c r="V50" i="12"/>
  <c r="V52" i="15" s="1"/>
  <c r="U43" i="13"/>
  <c r="U43" i="12"/>
  <c r="U45" i="15" s="1"/>
  <c r="D132" i="15"/>
  <c r="D82" i="15"/>
  <c r="E122" i="15"/>
  <c r="M90" i="15"/>
  <c r="L89" i="15"/>
  <c r="S97" i="16"/>
  <c r="D78" i="15"/>
  <c r="S83" i="16"/>
  <c r="L93" i="15"/>
  <c r="S102" i="16"/>
  <c r="E119" i="15"/>
  <c r="S130" i="16"/>
  <c r="L95" i="15"/>
  <c r="H125" i="15"/>
  <c r="S138" i="16"/>
  <c r="L94" i="15"/>
  <c r="S103" i="16"/>
  <c r="H72" i="15"/>
  <c r="S73" i="16"/>
  <c r="M92" i="15"/>
  <c r="S101" i="16"/>
  <c r="H85" i="15"/>
  <c r="S92" i="16"/>
  <c r="E121" i="15"/>
  <c r="S132" i="16"/>
  <c r="E120" i="15"/>
  <c r="L90" i="15"/>
  <c r="S98" i="16"/>
  <c r="L50" i="4"/>
  <c r="J43" i="4"/>
  <c r="K43" i="4"/>
  <c r="I43" i="4"/>
  <c r="J50" i="4"/>
  <c r="K50" i="4"/>
  <c r="I50" i="4"/>
  <c r="W48" i="3"/>
  <c r="X48" i="3"/>
  <c r="R71" i="3"/>
  <c r="S143" i="16" l="1"/>
  <c r="E143" i="16" s="1"/>
  <c r="D93" i="16"/>
  <c r="E130" i="16"/>
  <c r="L101" i="16"/>
  <c r="E131" i="16"/>
  <c r="D85" i="16"/>
  <c r="M98" i="16"/>
  <c r="G73" i="16"/>
  <c r="M100" i="16"/>
  <c r="L103" i="16"/>
  <c r="L102" i="16"/>
  <c r="L97" i="16"/>
  <c r="L98" i="16"/>
  <c r="F136" i="16"/>
  <c r="E133" i="16"/>
  <c r="E132" i="16"/>
  <c r="S53" i="16"/>
  <c r="S45" i="16"/>
  <c r="T45" i="16"/>
  <c r="U53" i="16"/>
  <c r="U45" i="16"/>
  <c r="T53" i="16"/>
  <c r="V53" i="16"/>
  <c r="L50" i="12"/>
  <c r="K43" i="12"/>
  <c r="I50" i="12"/>
  <c r="I43" i="12"/>
  <c r="J43" i="12"/>
  <c r="J50" i="12"/>
  <c r="K50" i="12"/>
  <c r="Y47" i="10"/>
  <c r="O47" i="10" s="1"/>
  <c r="X47" i="10"/>
  <c r="N47" i="10" s="1"/>
  <c r="Y47" i="4"/>
  <c r="X47" i="4"/>
  <c r="R80" i="3"/>
  <c r="X131" i="3"/>
  <c r="X124" i="3"/>
  <c r="R43" i="3"/>
  <c r="Q82" i="2"/>
  <c r="Q79" i="2"/>
  <c r="Q129" i="2"/>
  <c r="Q122" i="2"/>
  <c r="C119" i="2"/>
  <c r="F121" i="3" s="1"/>
  <c r="C118" i="2"/>
  <c r="F120" i="3" s="1"/>
  <c r="C117" i="2"/>
  <c r="F119" i="3" s="1"/>
  <c r="C116" i="2"/>
  <c r="F118" i="3" s="1"/>
  <c r="L92" i="2"/>
  <c r="J94" i="3" s="1"/>
  <c r="L91" i="2"/>
  <c r="J93" i="3" s="1"/>
  <c r="L90" i="2"/>
  <c r="J92" i="3" s="1"/>
  <c r="M89" i="2"/>
  <c r="K91" i="3" s="1"/>
  <c r="M88" i="2"/>
  <c r="K89" i="3" s="1"/>
  <c r="L88" i="2"/>
  <c r="J89" i="3" s="1"/>
  <c r="L87" i="2"/>
  <c r="J88" i="3" s="1"/>
  <c r="Q75" i="2"/>
  <c r="L51" i="2"/>
  <c r="L53" i="3" s="1"/>
  <c r="K51" i="2"/>
  <c r="K53" i="3" s="1"/>
  <c r="J51" i="2"/>
  <c r="J53" i="3" s="1"/>
  <c r="I51" i="2"/>
  <c r="I53" i="3" s="1"/>
  <c r="L50" i="2"/>
  <c r="L52" i="3" s="1"/>
  <c r="K50" i="2"/>
  <c r="K52" i="3" s="1"/>
  <c r="J50" i="2"/>
  <c r="J52" i="3" s="1"/>
  <c r="I50" i="2"/>
  <c r="I52" i="3" s="1"/>
  <c r="N48" i="2"/>
  <c r="N49" i="3" s="1"/>
  <c r="M48" i="2"/>
  <c r="M49" i="3" s="1"/>
  <c r="L48" i="2"/>
  <c r="L49" i="3" s="1"/>
  <c r="K48" i="2"/>
  <c r="K49" i="3" s="1"/>
  <c r="J48" i="2"/>
  <c r="J49" i="3" s="1"/>
  <c r="I48" i="2"/>
  <c r="I49" i="3" s="1"/>
  <c r="M47" i="2"/>
  <c r="M48" i="3" s="1"/>
  <c r="L47" i="2"/>
  <c r="L48" i="3" s="1"/>
  <c r="K47" i="2"/>
  <c r="K48" i="3" s="1"/>
  <c r="J47" i="2"/>
  <c r="J48" i="3" s="1"/>
  <c r="I47" i="2"/>
  <c r="I48" i="3" s="1"/>
  <c r="K46" i="2"/>
  <c r="K47" i="3" s="1"/>
  <c r="J46" i="2"/>
  <c r="J47" i="3" s="1"/>
  <c r="I46" i="2"/>
  <c r="I47" i="3" s="1"/>
  <c r="I45" i="2"/>
  <c r="I46" i="3" s="1"/>
  <c r="L44" i="2"/>
  <c r="L45" i="3" s="1"/>
  <c r="K44" i="2"/>
  <c r="K45" i="3" s="1"/>
  <c r="J44" i="2"/>
  <c r="J45" i="3" s="1"/>
  <c r="I44" i="2"/>
  <c r="I45" i="3" s="1"/>
  <c r="N39" i="2"/>
  <c r="N40" i="3" s="1"/>
  <c r="M39" i="2"/>
  <c r="M40" i="3" s="1"/>
  <c r="L40" i="2"/>
  <c r="L41" i="3" s="1"/>
  <c r="K40" i="2"/>
  <c r="K41" i="3" s="1"/>
  <c r="J40" i="2"/>
  <c r="J41" i="3" s="1"/>
  <c r="I40" i="2"/>
  <c r="I41" i="3" s="1"/>
  <c r="L39" i="2"/>
  <c r="L40" i="3" s="1"/>
  <c r="K39" i="2"/>
  <c r="K40" i="3" s="1"/>
  <c r="J39" i="2"/>
  <c r="J40" i="3" s="1"/>
  <c r="I39" i="2"/>
  <c r="I40" i="3" s="1"/>
  <c r="I38" i="2"/>
  <c r="I39" i="3" s="1"/>
  <c r="I37" i="2"/>
  <c r="I36" i="2"/>
  <c r="I37" i="3" s="1"/>
  <c r="I35" i="2"/>
  <c r="I36" i="3" s="1"/>
  <c r="I34" i="2"/>
  <c r="I35" i="3" s="1"/>
  <c r="I33" i="2"/>
  <c r="I34" i="3" s="1"/>
  <c r="I32" i="2"/>
  <c r="I33" i="3" s="1"/>
  <c r="L31" i="2"/>
  <c r="L32" i="3" s="1"/>
  <c r="K31" i="2"/>
  <c r="K32" i="3" s="1"/>
  <c r="J31" i="2"/>
  <c r="J32" i="3" s="1"/>
  <c r="I31" i="2"/>
  <c r="I32" i="3" s="1"/>
  <c r="L30" i="2"/>
  <c r="L31" i="3" s="1"/>
  <c r="K30" i="2"/>
  <c r="K31" i="3" s="1"/>
  <c r="J30" i="2"/>
  <c r="J31" i="3" s="1"/>
  <c r="I30" i="2"/>
  <c r="I31" i="3" s="1"/>
  <c r="L29" i="2"/>
  <c r="L30" i="3" s="1"/>
  <c r="K29" i="2"/>
  <c r="K30" i="3" s="1"/>
  <c r="J29" i="2"/>
  <c r="J30" i="3" s="1"/>
  <c r="I29" i="2"/>
  <c r="I30" i="3" s="1"/>
  <c r="I28" i="2"/>
  <c r="I29" i="3" s="1"/>
  <c r="L27" i="2"/>
  <c r="L28" i="3" s="1"/>
  <c r="K27" i="2"/>
  <c r="K28" i="3" s="1"/>
  <c r="J27" i="2"/>
  <c r="J28" i="3" s="1"/>
  <c r="I27" i="2"/>
  <c r="I28" i="3" s="1"/>
  <c r="L26" i="2"/>
  <c r="L27" i="3" s="1"/>
  <c r="K26" i="2"/>
  <c r="K27" i="3" s="1"/>
  <c r="J26" i="2"/>
  <c r="J27" i="3" s="1"/>
  <c r="I26" i="2"/>
  <c r="I27" i="3" s="1"/>
  <c r="L25" i="2"/>
  <c r="L26" i="3" s="1"/>
  <c r="K25" i="2"/>
  <c r="K26" i="3" s="1"/>
  <c r="J25" i="2"/>
  <c r="J26" i="3" s="1"/>
  <c r="I25" i="2"/>
  <c r="I26" i="3" s="1"/>
  <c r="I24" i="2"/>
  <c r="I25" i="3" s="1"/>
  <c r="L23" i="2"/>
  <c r="L24" i="3" s="1"/>
  <c r="K23" i="2"/>
  <c r="K24" i="3" s="1"/>
  <c r="J23" i="2"/>
  <c r="J24" i="3" s="1"/>
  <c r="I23" i="2"/>
  <c r="I24" i="3" s="1"/>
  <c r="L22" i="2"/>
  <c r="L23" i="3" s="1"/>
  <c r="K22" i="2"/>
  <c r="K23" i="3" s="1"/>
  <c r="J22" i="2"/>
  <c r="J23" i="3" s="1"/>
  <c r="I22" i="2"/>
  <c r="I23" i="3" s="1"/>
  <c r="I21" i="2"/>
  <c r="I22" i="3" s="1"/>
  <c r="L20" i="2"/>
  <c r="L21" i="3" s="1"/>
  <c r="K20" i="2"/>
  <c r="K21" i="3" s="1"/>
  <c r="J20" i="2"/>
  <c r="J21" i="3" s="1"/>
  <c r="I20" i="2"/>
  <c r="I21" i="3" s="1"/>
  <c r="L19" i="2"/>
  <c r="L20" i="3" s="1"/>
  <c r="K19" i="2"/>
  <c r="K20" i="3" s="1"/>
  <c r="J19" i="2"/>
  <c r="J20" i="3" s="1"/>
  <c r="I19" i="2"/>
  <c r="I20" i="3" s="1"/>
  <c r="L18" i="2"/>
  <c r="L19" i="3" s="1"/>
  <c r="K18" i="2"/>
  <c r="K19" i="3" s="1"/>
  <c r="J18" i="2"/>
  <c r="J19" i="3" s="1"/>
  <c r="I18" i="2"/>
  <c r="I19" i="3" s="1"/>
  <c r="L17" i="2"/>
  <c r="L18" i="3" s="1"/>
  <c r="K17" i="2"/>
  <c r="K18" i="3" s="1"/>
  <c r="J17" i="2"/>
  <c r="J18" i="3" s="1"/>
  <c r="I17" i="2"/>
  <c r="I18" i="3" s="1"/>
  <c r="K16" i="2"/>
  <c r="K17" i="3" s="1"/>
  <c r="J16" i="2"/>
  <c r="J17" i="3" s="1"/>
  <c r="I16" i="2"/>
  <c r="I17" i="3" s="1"/>
  <c r="K15" i="2"/>
  <c r="K16" i="3" s="1"/>
  <c r="J15" i="2"/>
  <c r="J16" i="3" s="1"/>
  <c r="I15" i="2"/>
  <c r="I16" i="3" s="1"/>
  <c r="I9" i="2"/>
  <c r="I10" i="3" s="1"/>
  <c r="L14" i="2"/>
  <c r="L9" i="3" s="1"/>
  <c r="K14" i="2"/>
  <c r="K9" i="3" s="1"/>
  <c r="J14" i="2"/>
  <c r="J9" i="3" s="1"/>
  <c r="I14" i="2"/>
  <c r="I9" i="3" s="1"/>
  <c r="I6" i="2"/>
  <c r="I6" i="3" s="1"/>
  <c r="L13" i="2"/>
  <c r="L14" i="3" s="1"/>
  <c r="K13" i="2"/>
  <c r="K14" i="3" s="1"/>
  <c r="J13" i="2"/>
  <c r="J14" i="3" s="1"/>
  <c r="I13" i="2"/>
  <c r="I14" i="3" s="1"/>
  <c r="L12" i="2"/>
  <c r="L13" i="3" s="1"/>
  <c r="K12" i="2"/>
  <c r="K13" i="3" s="1"/>
  <c r="J12" i="2"/>
  <c r="J13" i="3" s="1"/>
  <c r="I12" i="2"/>
  <c r="I13" i="3" s="1"/>
  <c r="L11" i="2"/>
  <c r="L12" i="3" s="1"/>
  <c r="K11" i="2"/>
  <c r="K12" i="3" s="1"/>
  <c r="J11" i="2"/>
  <c r="J12" i="3" s="1"/>
  <c r="I11" i="2"/>
  <c r="I12" i="3" s="1"/>
  <c r="L10" i="2"/>
  <c r="L11" i="3" s="1"/>
  <c r="K10" i="2"/>
  <c r="K11" i="3" s="1"/>
  <c r="J10" i="2"/>
  <c r="J11" i="3" s="1"/>
  <c r="I10" i="2"/>
  <c r="I11" i="3" s="1"/>
  <c r="L8" i="2"/>
  <c r="L8" i="3" s="1"/>
  <c r="K8" i="2"/>
  <c r="K8" i="3" s="1"/>
  <c r="J8" i="2"/>
  <c r="J8" i="3" s="1"/>
  <c r="I8" i="2"/>
  <c r="I8" i="3" s="1"/>
  <c r="L7" i="2"/>
  <c r="L7" i="3" s="1"/>
  <c r="K7" i="2"/>
  <c r="K7" i="3" s="1"/>
  <c r="J7" i="2"/>
  <c r="J7" i="3" s="1"/>
  <c r="I7" i="2"/>
  <c r="I7" i="3" s="1"/>
  <c r="Z45" i="16" l="1"/>
  <c r="Z53" i="16"/>
  <c r="M53" i="16"/>
  <c r="K45" i="16"/>
  <c r="J53" i="16"/>
  <c r="K53" i="16"/>
  <c r="J45" i="16"/>
  <c r="L53" i="16"/>
  <c r="I45" i="16"/>
  <c r="I53" i="16"/>
  <c r="Y47" i="12"/>
  <c r="Y49" i="15" s="1"/>
  <c r="Y47" i="13"/>
  <c r="X47" i="12"/>
  <c r="X49" i="15" s="1"/>
  <c r="X47" i="13"/>
  <c r="J52" i="15"/>
  <c r="J45" i="15"/>
  <c r="K52" i="15"/>
  <c r="K45" i="15"/>
  <c r="I45" i="15"/>
  <c r="L52" i="15"/>
  <c r="I52" i="15"/>
  <c r="N47" i="4"/>
  <c r="O47" i="4"/>
  <c r="R90" i="3"/>
  <c r="R91" i="3"/>
  <c r="R92" i="3"/>
  <c r="R93" i="3"/>
  <c r="R94" i="3"/>
  <c r="R118" i="3"/>
  <c r="R119" i="3"/>
  <c r="R120" i="3"/>
  <c r="R121" i="3"/>
  <c r="R89" i="3"/>
  <c r="R88" i="3"/>
  <c r="S21" i="3"/>
  <c r="T18" i="3"/>
  <c r="R8" i="3"/>
  <c r="R19" i="3"/>
  <c r="R34" i="3"/>
  <c r="R10" i="3"/>
  <c r="S19" i="3"/>
  <c r="R23" i="3"/>
  <c r="R35" i="3"/>
  <c r="R12" i="3"/>
  <c r="S16" i="3"/>
  <c r="R37" i="3"/>
  <c r="R7" i="3"/>
  <c r="R27" i="3"/>
  <c r="R31" i="3"/>
  <c r="R20" i="3"/>
  <c r="R14" i="3"/>
  <c r="S20" i="3"/>
  <c r="R39" i="3"/>
  <c r="R49" i="3"/>
  <c r="R6" i="3"/>
  <c r="T19" i="3"/>
  <c r="R11" i="3"/>
  <c r="R45" i="3"/>
  <c r="R17" i="3"/>
  <c r="S17" i="3"/>
  <c r="R28" i="3"/>
  <c r="R40" i="3"/>
  <c r="R18" i="3"/>
  <c r="R16" i="3"/>
  <c r="R36" i="3"/>
  <c r="T16" i="3"/>
  <c r="R24" i="3"/>
  <c r="T20" i="3"/>
  <c r="T17" i="3"/>
  <c r="R32" i="3"/>
  <c r="R21" i="3"/>
  <c r="R46" i="3"/>
  <c r="R25" i="3"/>
  <c r="R47" i="3"/>
  <c r="S18" i="3"/>
  <c r="T21" i="3"/>
  <c r="R41" i="3"/>
  <c r="R26" i="3"/>
  <c r="R9" i="3"/>
  <c r="R29" i="3"/>
  <c r="R30" i="3"/>
  <c r="R33" i="3"/>
  <c r="R13" i="3"/>
  <c r="R22" i="3"/>
  <c r="R48" i="3"/>
  <c r="T26" i="3"/>
  <c r="S30" i="3"/>
  <c r="T41" i="3"/>
  <c r="S52" i="3"/>
  <c r="S8" i="3"/>
  <c r="S13" i="3"/>
  <c r="U26" i="3"/>
  <c r="T30" i="3"/>
  <c r="U41" i="3"/>
  <c r="S48" i="3"/>
  <c r="T52" i="3"/>
  <c r="W40" i="3"/>
  <c r="U48" i="3"/>
  <c r="R53" i="3"/>
  <c r="T8" i="3"/>
  <c r="T23" i="3"/>
  <c r="S31" i="3"/>
  <c r="S53" i="3"/>
  <c r="U30" i="3"/>
  <c r="U19" i="3"/>
  <c r="U23" i="3"/>
  <c r="S11" i="3"/>
  <c r="U27" i="3"/>
  <c r="T31" i="3"/>
  <c r="S45" i="3"/>
  <c r="T53" i="3"/>
  <c r="U12" i="3"/>
  <c r="T48" i="3"/>
  <c r="U8" i="3"/>
  <c r="S27" i="3"/>
  <c r="T27" i="3"/>
  <c r="V48" i="3"/>
  <c r="S14" i="3"/>
  <c r="T11" i="3"/>
  <c r="T14" i="3"/>
  <c r="S24" i="3"/>
  <c r="U31" i="3"/>
  <c r="T45" i="3"/>
  <c r="S49" i="3"/>
  <c r="U53" i="3"/>
  <c r="U7" i="3"/>
  <c r="S23" i="3"/>
  <c r="U52" i="3"/>
  <c r="U11" i="3"/>
  <c r="T24" i="3"/>
  <c r="U45" i="3"/>
  <c r="T49" i="3"/>
  <c r="U9" i="3"/>
  <c r="U14" i="3"/>
  <c r="S28" i="3"/>
  <c r="S40" i="3"/>
  <c r="U24" i="3"/>
  <c r="T28" i="3"/>
  <c r="S32" i="3"/>
  <c r="T40" i="3"/>
  <c r="U49" i="3"/>
  <c r="U13" i="3"/>
  <c r="U28" i="3"/>
  <c r="U40" i="3"/>
  <c r="V49" i="3"/>
  <c r="T13" i="3"/>
  <c r="V40" i="3"/>
  <c r="U20" i="3"/>
  <c r="S7" i="3"/>
  <c r="S12" i="3"/>
  <c r="T32" i="3"/>
  <c r="T7" i="3"/>
  <c r="T12" i="3"/>
  <c r="S9" i="3"/>
  <c r="U32" i="3"/>
  <c r="S47" i="3"/>
  <c r="W49" i="3"/>
  <c r="T9" i="3"/>
  <c r="U18" i="3"/>
  <c r="U21" i="3"/>
  <c r="S26" i="3"/>
  <c r="S41" i="3"/>
  <c r="T47" i="3"/>
  <c r="R52" i="3"/>
  <c r="I38" i="3"/>
  <c r="I42" i="3"/>
  <c r="R42" i="3" s="1"/>
  <c r="O73" i="20" l="1"/>
  <c r="N53" i="16"/>
  <c r="L45" i="16"/>
  <c r="X49" i="16"/>
  <c r="Y49" i="16"/>
  <c r="O47" i="12"/>
  <c r="N47" i="12"/>
  <c r="V24" i="10"/>
  <c r="L24" i="10" s="1"/>
  <c r="V21" i="10"/>
  <c r="L21" i="10" s="1"/>
  <c r="U41" i="10"/>
  <c r="K41" i="10" s="1"/>
  <c r="V18" i="10"/>
  <c r="L18" i="10" s="1"/>
  <c r="T28" i="10"/>
  <c r="J28" i="10" s="1"/>
  <c r="S52" i="10"/>
  <c r="I52" i="10" s="1"/>
  <c r="S18" i="10"/>
  <c r="I18" i="10" s="1"/>
  <c r="S34" i="10"/>
  <c r="I34" i="10" s="1"/>
  <c r="U9" i="10"/>
  <c r="K9" i="10" s="1"/>
  <c r="V14" i="10"/>
  <c r="L14" i="10" s="1"/>
  <c r="T44" i="10"/>
  <c r="J44" i="10" s="1"/>
  <c r="S46" i="10"/>
  <c r="I46" i="10" s="1"/>
  <c r="S40" i="10"/>
  <c r="I40" i="10" s="1"/>
  <c r="S20" i="10"/>
  <c r="I20" i="10" s="1"/>
  <c r="S19" i="10"/>
  <c r="I19" i="10" s="1"/>
  <c r="U14" i="10"/>
  <c r="K14" i="10" s="1"/>
  <c r="V27" i="10"/>
  <c r="L27" i="10" s="1"/>
  <c r="U51" i="10"/>
  <c r="K51" i="10" s="1"/>
  <c r="S22" i="10"/>
  <c r="I22" i="10" s="1"/>
  <c r="S45" i="10"/>
  <c r="I45" i="10" s="1"/>
  <c r="T17" i="10"/>
  <c r="J17" i="10" s="1"/>
  <c r="S27" i="10"/>
  <c r="I27" i="10" s="1"/>
  <c r="U18" i="10"/>
  <c r="K18" i="10" s="1"/>
  <c r="V32" i="10"/>
  <c r="L32" i="10" s="1"/>
  <c r="V28" i="10"/>
  <c r="L28" i="10" s="1"/>
  <c r="V44" i="10"/>
  <c r="L44" i="10" s="1"/>
  <c r="U11" i="10"/>
  <c r="K11" i="10" s="1"/>
  <c r="T11" i="10"/>
  <c r="J11" i="10" s="1"/>
  <c r="T47" i="10"/>
  <c r="J47" i="10" s="1"/>
  <c r="S13" i="10"/>
  <c r="I13" i="10" s="1"/>
  <c r="S21" i="10"/>
  <c r="I21" i="10" s="1"/>
  <c r="S17" i="10"/>
  <c r="I17" i="10" s="1"/>
  <c r="S7" i="10"/>
  <c r="I7" i="10" s="1"/>
  <c r="T21" i="10"/>
  <c r="J21" i="10" s="1"/>
  <c r="V52" i="10"/>
  <c r="L52" i="10" s="1"/>
  <c r="T18" i="10"/>
  <c r="J18" i="10" s="1"/>
  <c r="T26" i="10"/>
  <c r="J26" i="10" s="1"/>
  <c r="V20" i="10"/>
  <c r="L20" i="10" s="1"/>
  <c r="V51" i="10"/>
  <c r="L51" i="10" s="1"/>
  <c r="S33" i="10"/>
  <c r="I33" i="10" s="1"/>
  <c r="S32" i="10"/>
  <c r="I32" i="10" s="1"/>
  <c r="S44" i="10"/>
  <c r="I44" i="10" s="1"/>
  <c r="S37" i="10"/>
  <c r="I37" i="10" s="1"/>
  <c r="U12" i="10"/>
  <c r="K12" i="10" s="1"/>
  <c r="U23" i="10"/>
  <c r="K23" i="10" s="1"/>
  <c r="U21" i="10"/>
  <c r="K21" i="10" s="1"/>
  <c r="W40" i="10"/>
  <c r="M40" i="10" s="1"/>
  <c r="U44" i="10"/>
  <c r="K44" i="10" s="1"/>
  <c r="T30" i="10"/>
  <c r="J30" i="10" s="1"/>
  <c r="S14" i="10"/>
  <c r="I14" i="10" s="1"/>
  <c r="U13" i="10"/>
  <c r="K13" i="10" s="1"/>
  <c r="V31" i="10"/>
  <c r="L31" i="10" s="1"/>
  <c r="U26" i="10"/>
  <c r="K26" i="10" s="1"/>
  <c r="T9" i="10"/>
  <c r="J9" i="10" s="1"/>
  <c r="V13" i="10"/>
  <c r="L13" i="10" s="1"/>
  <c r="U24" i="10"/>
  <c r="K24" i="10" s="1"/>
  <c r="T14" i="10"/>
  <c r="J14" i="10" s="1"/>
  <c r="V23" i="10"/>
  <c r="L23" i="10" s="1"/>
  <c r="V11" i="10"/>
  <c r="L11" i="10" s="1"/>
  <c r="W47" i="10"/>
  <c r="M47" i="10" s="1"/>
  <c r="V19" i="10"/>
  <c r="L19" i="10" s="1"/>
  <c r="U30" i="10"/>
  <c r="K30" i="10" s="1"/>
  <c r="S30" i="10"/>
  <c r="I30" i="10" s="1"/>
  <c r="U17" i="10"/>
  <c r="K17" i="10" s="1"/>
  <c r="S11" i="10"/>
  <c r="I11" i="10" s="1"/>
  <c r="T15" i="10"/>
  <c r="J15" i="10" s="1"/>
  <c r="S51" i="10"/>
  <c r="I51" i="10" s="1"/>
  <c r="U7" i="10"/>
  <c r="K7" i="10" s="1"/>
  <c r="U40" i="10"/>
  <c r="K40" i="10" s="1"/>
  <c r="U27" i="10"/>
  <c r="K27" i="10" s="1"/>
  <c r="V30" i="10"/>
  <c r="L30" i="10" s="1"/>
  <c r="V26" i="10"/>
  <c r="L26" i="10" s="1"/>
  <c r="S29" i="10"/>
  <c r="I29" i="10" s="1"/>
  <c r="U20" i="10"/>
  <c r="K20" i="10" s="1"/>
  <c r="U19" i="10"/>
  <c r="K19" i="10" s="1"/>
  <c r="S12" i="10"/>
  <c r="I12" i="10" s="1"/>
  <c r="U46" i="10"/>
  <c r="K46" i="10" s="1"/>
  <c r="U32" i="10"/>
  <c r="K32" i="10" s="1"/>
  <c r="T32" i="10"/>
  <c r="J32" i="10" s="1"/>
  <c r="T23" i="10"/>
  <c r="J23" i="10" s="1"/>
  <c r="T27" i="10"/>
  <c r="J27" i="10" s="1"/>
  <c r="T52" i="10"/>
  <c r="J52" i="10" s="1"/>
  <c r="T13" i="10"/>
  <c r="J13" i="10" s="1"/>
  <c r="S9" i="10"/>
  <c r="I9" i="10" s="1"/>
  <c r="S24" i="10"/>
  <c r="I24" i="10" s="1"/>
  <c r="S6" i="10"/>
  <c r="I6" i="10" s="1"/>
  <c r="S35" i="10"/>
  <c r="I35" i="10" s="1"/>
  <c r="T41" i="10"/>
  <c r="J41" i="10" s="1"/>
  <c r="T12" i="10"/>
  <c r="J12" i="10" s="1"/>
  <c r="U28" i="10"/>
  <c r="K28" i="10" s="1"/>
  <c r="V7" i="10"/>
  <c r="L7" i="10" s="1"/>
  <c r="V8" i="10"/>
  <c r="L8" i="10" s="1"/>
  <c r="T31" i="10"/>
  <c r="J31" i="10" s="1"/>
  <c r="T8" i="10"/>
  <c r="J8" i="10" s="1"/>
  <c r="S26" i="10"/>
  <c r="I26" i="10" s="1"/>
  <c r="U15" i="10"/>
  <c r="K15" i="10" s="1"/>
  <c r="S48" i="10"/>
  <c r="I48" i="10" s="1"/>
  <c r="S23" i="10"/>
  <c r="I23" i="10" s="1"/>
  <c r="T51" i="10"/>
  <c r="J51" i="10" s="1"/>
  <c r="S41" i="10"/>
  <c r="I41" i="10" s="1"/>
  <c r="S36" i="10"/>
  <c r="I36" i="10" s="1"/>
  <c r="S39" i="10"/>
  <c r="I39" i="10" s="1"/>
  <c r="T19" i="10"/>
  <c r="J19" i="10" s="1"/>
  <c r="T40" i="10"/>
  <c r="J40" i="10" s="1"/>
  <c r="S15" i="10"/>
  <c r="I15" i="10" s="1"/>
  <c r="T20" i="10"/>
  <c r="J20" i="10" s="1"/>
  <c r="S10" i="10"/>
  <c r="I10" i="10" s="1"/>
  <c r="U52" i="10"/>
  <c r="K52" i="10" s="1"/>
  <c r="T7" i="10"/>
  <c r="J7" i="10" s="1"/>
  <c r="U8" i="10"/>
  <c r="K8" i="10" s="1"/>
  <c r="V47" i="10"/>
  <c r="L47" i="10" s="1"/>
  <c r="V12" i="10"/>
  <c r="L12" i="10" s="1"/>
  <c r="V9" i="10"/>
  <c r="L9" i="10" s="1"/>
  <c r="U31" i="10"/>
  <c r="K31" i="10" s="1"/>
  <c r="X40" i="10"/>
  <c r="N40" i="10" s="1"/>
  <c r="S47" i="10"/>
  <c r="I47" i="10" s="1"/>
  <c r="S25" i="10"/>
  <c r="I25" i="10" s="1"/>
  <c r="S28" i="10"/>
  <c r="I28" i="10" s="1"/>
  <c r="S31" i="10"/>
  <c r="I31" i="10" s="1"/>
  <c r="S8" i="10"/>
  <c r="I8" i="10" s="1"/>
  <c r="U47" i="10"/>
  <c r="K47" i="10" s="1"/>
  <c r="T24" i="10"/>
  <c r="J24" i="10" s="1"/>
  <c r="T46" i="10"/>
  <c r="J46" i="10" s="1"/>
  <c r="V40" i="10"/>
  <c r="L40" i="10" s="1"/>
  <c r="U48" i="4"/>
  <c r="U48" i="10"/>
  <c r="K48" i="10" s="1"/>
  <c r="V41" i="4"/>
  <c r="V41" i="10"/>
  <c r="L41" i="10" s="1"/>
  <c r="X48" i="4"/>
  <c r="X48" i="10"/>
  <c r="N48" i="10" s="1"/>
  <c r="V48" i="4"/>
  <c r="V48" i="10"/>
  <c r="L48" i="10" s="1"/>
  <c r="T48" i="4"/>
  <c r="T48" i="10"/>
  <c r="J48" i="10" s="1"/>
  <c r="W48" i="4"/>
  <c r="W48" i="10"/>
  <c r="M48" i="10" s="1"/>
  <c r="V9" i="4"/>
  <c r="T24" i="4"/>
  <c r="U31" i="4"/>
  <c r="X40" i="4"/>
  <c r="S47" i="4"/>
  <c r="S25" i="4"/>
  <c r="S28" i="4"/>
  <c r="S31" i="4"/>
  <c r="S8" i="4"/>
  <c r="T46" i="4"/>
  <c r="V40" i="4"/>
  <c r="V32" i="4"/>
  <c r="V28" i="4"/>
  <c r="V44" i="4"/>
  <c r="U11" i="4"/>
  <c r="T11" i="4"/>
  <c r="T47" i="4"/>
  <c r="S13" i="4"/>
  <c r="S21" i="4"/>
  <c r="S17" i="4"/>
  <c r="S7" i="4"/>
  <c r="T21" i="4"/>
  <c r="V13" i="4"/>
  <c r="U24" i="4"/>
  <c r="T14" i="4"/>
  <c r="V23" i="4"/>
  <c r="S33" i="4"/>
  <c r="S32" i="4"/>
  <c r="S44" i="4"/>
  <c r="S37" i="4"/>
  <c r="T26" i="4"/>
  <c r="V52" i="4"/>
  <c r="T51" i="4"/>
  <c r="V11" i="4"/>
  <c r="W47" i="4"/>
  <c r="V19" i="4"/>
  <c r="U30" i="4"/>
  <c r="S30" i="4"/>
  <c r="U17" i="4"/>
  <c r="S11" i="4"/>
  <c r="T15" i="4"/>
  <c r="S51" i="4"/>
  <c r="U7" i="4"/>
  <c r="U40" i="4"/>
  <c r="V51" i="4"/>
  <c r="U27" i="4"/>
  <c r="V30" i="4"/>
  <c r="V26" i="4"/>
  <c r="S29" i="4"/>
  <c r="U20" i="4"/>
  <c r="U19" i="4"/>
  <c r="S12" i="4"/>
  <c r="T7" i="4"/>
  <c r="U47" i="4"/>
  <c r="U23" i="4"/>
  <c r="S41" i="4"/>
  <c r="S39" i="4"/>
  <c r="T19" i="4"/>
  <c r="V21" i="4"/>
  <c r="V20" i="4"/>
  <c r="T40" i="4"/>
  <c r="T9" i="4"/>
  <c r="U12" i="4"/>
  <c r="U46" i="4"/>
  <c r="U32" i="4"/>
  <c r="T32" i="4"/>
  <c r="T23" i="4"/>
  <c r="T27" i="4"/>
  <c r="T52" i="4"/>
  <c r="T13" i="4"/>
  <c r="S9" i="4"/>
  <c r="S24" i="4"/>
  <c r="S6" i="4"/>
  <c r="S35" i="4"/>
  <c r="T41" i="4"/>
  <c r="T12" i="4"/>
  <c r="U28" i="4"/>
  <c r="V7" i="4"/>
  <c r="V8" i="4"/>
  <c r="T31" i="4"/>
  <c r="T8" i="4"/>
  <c r="S26" i="4"/>
  <c r="U15" i="4"/>
  <c r="S48" i="4"/>
  <c r="S23" i="4"/>
  <c r="V24" i="4"/>
  <c r="S36" i="4"/>
  <c r="V12" i="4"/>
  <c r="U8" i="4"/>
  <c r="U41" i="4"/>
  <c r="U21" i="4"/>
  <c r="S15" i="4"/>
  <c r="T20" i="4"/>
  <c r="S10" i="4"/>
  <c r="V18" i="4"/>
  <c r="W40" i="4"/>
  <c r="T28" i="4"/>
  <c r="U44" i="4"/>
  <c r="U52" i="4"/>
  <c r="S52" i="4"/>
  <c r="T30" i="4"/>
  <c r="T18" i="4"/>
  <c r="S18" i="4"/>
  <c r="S14" i="4"/>
  <c r="S34" i="4"/>
  <c r="U9" i="4"/>
  <c r="U13" i="4"/>
  <c r="V14" i="4"/>
  <c r="V31" i="4"/>
  <c r="T44" i="4"/>
  <c r="V47" i="4"/>
  <c r="U26" i="4"/>
  <c r="S46" i="4"/>
  <c r="S40" i="4"/>
  <c r="S20" i="4"/>
  <c r="S19" i="4"/>
  <c r="U14" i="4"/>
  <c r="V27" i="4"/>
  <c r="U51" i="4"/>
  <c r="S22" i="4"/>
  <c r="S45" i="4"/>
  <c r="T17" i="4"/>
  <c r="S27" i="4"/>
  <c r="U18" i="4"/>
  <c r="R38" i="3"/>
  <c r="O143" i="20" l="1"/>
  <c r="O137" i="20"/>
  <c r="A137" i="20" s="1"/>
  <c r="O139" i="20"/>
  <c r="A139" i="20" s="1"/>
  <c r="O138" i="20"/>
  <c r="A138" i="20" s="1"/>
  <c r="O136" i="20"/>
  <c r="A136" i="20" s="1"/>
  <c r="Q109" i="20"/>
  <c r="E109" i="20" s="1"/>
  <c r="Q107" i="20"/>
  <c r="E107" i="20" s="1"/>
  <c r="Q104" i="20"/>
  <c r="E104" i="20" s="1"/>
  <c r="Q105" i="20"/>
  <c r="E105" i="20" s="1"/>
  <c r="Q108" i="20"/>
  <c r="E108" i="20" s="1"/>
  <c r="O100" i="20"/>
  <c r="O88" i="20"/>
  <c r="O73" i="21"/>
  <c r="O53" i="16"/>
  <c r="O49" i="16"/>
  <c r="N49" i="16"/>
  <c r="M45" i="16"/>
  <c r="N45" i="16"/>
  <c r="U46" i="13"/>
  <c r="U46" i="12"/>
  <c r="U48" i="15" s="1"/>
  <c r="S36" i="12"/>
  <c r="S38" i="15" s="1"/>
  <c r="S36" i="13"/>
  <c r="U9" i="13"/>
  <c r="U9" i="12"/>
  <c r="U11" i="15" s="1"/>
  <c r="S19" i="12"/>
  <c r="S21" i="15" s="1"/>
  <c r="S19" i="13"/>
  <c r="T27" i="13"/>
  <c r="T27" i="12"/>
  <c r="T29" i="15" s="1"/>
  <c r="S46" i="13"/>
  <c r="S46" i="12"/>
  <c r="S48" i="15" s="1"/>
  <c r="T30" i="13"/>
  <c r="T30" i="12"/>
  <c r="T32" i="15" s="1"/>
  <c r="U8" i="12"/>
  <c r="U10" i="15" s="1"/>
  <c r="U8" i="13"/>
  <c r="U28" i="13"/>
  <c r="U28" i="12"/>
  <c r="U30" i="15" s="1"/>
  <c r="U32" i="13"/>
  <c r="U32" i="12"/>
  <c r="U34" i="15" s="1"/>
  <c r="T7" i="13"/>
  <c r="T7" i="12"/>
  <c r="T9" i="15" s="1"/>
  <c r="T15" i="13"/>
  <c r="T15" i="12"/>
  <c r="T17" i="15" s="1"/>
  <c r="S44" i="13"/>
  <c r="S44" i="12"/>
  <c r="S46" i="15" s="1"/>
  <c r="T47" i="12"/>
  <c r="T49" i="15" s="1"/>
  <c r="T47" i="13"/>
  <c r="S47" i="13"/>
  <c r="S47" i="12"/>
  <c r="S49" i="15" s="1"/>
  <c r="X48" i="13"/>
  <c r="X48" i="12"/>
  <c r="X50" i="15" s="1"/>
  <c r="T12" i="13"/>
  <c r="T12" i="12"/>
  <c r="T14" i="15" s="1"/>
  <c r="U31" i="12"/>
  <c r="U33" i="15" s="1"/>
  <c r="U31" i="13"/>
  <c r="T44" i="12"/>
  <c r="T46" i="15" s="1"/>
  <c r="T44" i="13"/>
  <c r="U20" i="13"/>
  <c r="U20" i="12"/>
  <c r="U22" i="15" s="1"/>
  <c r="T24" i="12"/>
  <c r="T26" i="15" s="1"/>
  <c r="T24" i="13"/>
  <c r="S33" i="12"/>
  <c r="S35" i="15" s="1"/>
  <c r="S33" i="13"/>
  <c r="U44" i="12"/>
  <c r="U46" i="15" s="1"/>
  <c r="U44" i="13"/>
  <c r="T9" i="12"/>
  <c r="T11" i="15" s="1"/>
  <c r="T9" i="13"/>
  <c r="V44" i="12"/>
  <c r="V46" i="15" s="1"/>
  <c r="V44" i="13"/>
  <c r="S45" i="13"/>
  <c r="S45" i="12"/>
  <c r="S47" i="15" s="1"/>
  <c r="V31" i="13"/>
  <c r="V31" i="12"/>
  <c r="V33" i="15" s="1"/>
  <c r="T28" i="13"/>
  <c r="T28" i="12"/>
  <c r="T30" i="15" s="1"/>
  <c r="S23" i="12"/>
  <c r="S25" i="15" s="1"/>
  <c r="S23" i="13"/>
  <c r="S6" i="12"/>
  <c r="S8" i="15" s="1"/>
  <c r="S6" i="13"/>
  <c r="T40" i="13"/>
  <c r="T40" i="12"/>
  <c r="T42" i="15" s="1"/>
  <c r="S29" i="12"/>
  <c r="S31" i="15" s="1"/>
  <c r="S29" i="13"/>
  <c r="U30" i="12"/>
  <c r="U32" i="15" s="1"/>
  <c r="U30" i="13"/>
  <c r="T14" i="12"/>
  <c r="T16" i="15" s="1"/>
  <c r="T14" i="13"/>
  <c r="V28" i="13"/>
  <c r="V28" i="12"/>
  <c r="V30" i="15" s="1"/>
  <c r="V9" i="13"/>
  <c r="V9" i="12"/>
  <c r="V11" i="15" s="1"/>
  <c r="U48" i="12"/>
  <c r="U50" i="15" s="1"/>
  <c r="U48" i="13"/>
  <c r="S52" i="12"/>
  <c r="S54" i="15" s="1"/>
  <c r="S52" i="13"/>
  <c r="V47" i="13"/>
  <c r="V47" i="12"/>
  <c r="V49" i="15" s="1"/>
  <c r="T17" i="13"/>
  <c r="T17" i="12"/>
  <c r="T19" i="15" s="1"/>
  <c r="S35" i="12"/>
  <c r="S37" i="15" s="1"/>
  <c r="S35" i="13"/>
  <c r="V23" i="12"/>
  <c r="V25" i="15" s="1"/>
  <c r="V23" i="13"/>
  <c r="S22" i="12"/>
  <c r="S24" i="15" s="1"/>
  <c r="S22" i="13"/>
  <c r="V14" i="12"/>
  <c r="V16" i="15" s="1"/>
  <c r="V14" i="13"/>
  <c r="W40" i="12"/>
  <c r="W42" i="15" s="1"/>
  <c r="W40" i="13"/>
  <c r="S48" i="12"/>
  <c r="S50" i="15" s="1"/>
  <c r="S48" i="13"/>
  <c r="S24" i="13"/>
  <c r="S24" i="12"/>
  <c r="S26" i="15" s="1"/>
  <c r="V20" i="13"/>
  <c r="V20" i="12"/>
  <c r="V22" i="15" s="1"/>
  <c r="V26" i="13"/>
  <c r="V26" i="12"/>
  <c r="V28" i="15" s="1"/>
  <c r="V19" i="12"/>
  <c r="V21" i="15" s="1"/>
  <c r="V19" i="13"/>
  <c r="U24" i="13"/>
  <c r="U24" i="12"/>
  <c r="U26" i="15" s="1"/>
  <c r="V32" i="12"/>
  <c r="V34" i="15" s="1"/>
  <c r="V32" i="13"/>
  <c r="U26" i="12"/>
  <c r="U28" i="15" s="1"/>
  <c r="U26" i="13"/>
  <c r="U52" i="12"/>
  <c r="U54" i="15" s="1"/>
  <c r="U52" i="13"/>
  <c r="U11" i="12"/>
  <c r="U13" i="15" s="1"/>
  <c r="U11" i="13"/>
  <c r="V24" i="12"/>
  <c r="V26" i="15" s="1"/>
  <c r="V24" i="13"/>
  <c r="S30" i="13"/>
  <c r="S30" i="12"/>
  <c r="S32" i="15" s="1"/>
  <c r="U51" i="12"/>
  <c r="U53" i="15" s="1"/>
  <c r="U51" i="13"/>
  <c r="U13" i="13"/>
  <c r="U13" i="12"/>
  <c r="U15" i="15" s="1"/>
  <c r="V18" i="12"/>
  <c r="V20" i="15" s="1"/>
  <c r="V18" i="13"/>
  <c r="U15" i="12"/>
  <c r="U17" i="15" s="1"/>
  <c r="U15" i="13"/>
  <c r="S9" i="12"/>
  <c r="S11" i="15" s="1"/>
  <c r="S9" i="13"/>
  <c r="V21" i="12"/>
  <c r="V23" i="15" s="1"/>
  <c r="V21" i="13"/>
  <c r="V30" i="13"/>
  <c r="V30" i="12"/>
  <c r="V32" i="15" s="1"/>
  <c r="W47" i="13"/>
  <c r="W47" i="12"/>
  <c r="W49" i="15" s="1"/>
  <c r="V13" i="13"/>
  <c r="V13" i="12"/>
  <c r="V15" i="15" s="1"/>
  <c r="V40" i="13"/>
  <c r="V40" i="12"/>
  <c r="V42" i="15" s="1"/>
  <c r="W48" i="13"/>
  <c r="W48" i="12"/>
  <c r="W50" i="15" s="1"/>
  <c r="U18" i="12"/>
  <c r="U20" i="15" s="1"/>
  <c r="U18" i="13"/>
  <c r="S11" i="13"/>
  <c r="S11" i="12"/>
  <c r="S13" i="15" s="1"/>
  <c r="U12" i="12"/>
  <c r="U14" i="15" s="1"/>
  <c r="U12" i="13"/>
  <c r="T13" i="13"/>
  <c r="T13" i="12"/>
  <c r="T15" i="15" s="1"/>
  <c r="V11" i="13"/>
  <c r="V11" i="12"/>
  <c r="V13" i="15" s="1"/>
  <c r="T46" i="12"/>
  <c r="T48" i="15" s="1"/>
  <c r="T46" i="13"/>
  <c r="V12" i="13"/>
  <c r="V12" i="12"/>
  <c r="V14" i="15" s="1"/>
  <c r="T11" i="12"/>
  <c r="T13" i="15" s="1"/>
  <c r="T11" i="13"/>
  <c r="T41" i="12"/>
  <c r="T43" i="15" s="1"/>
  <c r="T41" i="13"/>
  <c r="V27" i="13"/>
  <c r="V27" i="12"/>
  <c r="V29" i="15" s="1"/>
  <c r="U27" i="12"/>
  <c r="U29" i="15" s="1"/>
  <c r="U27" i="13"/>
  <c r="T21" i="13"/>
  <c r="T21" i="12"/>
  <c r="T23" i="15" s="1"/>
  <c r="U14" i="12"/>
  <c r="U16" i="15" s="1"/>
  <c r="U14" i="13"/>
  <c r="S34" i="12"/>
  <c r="S36" i="15" s="1"/>
  <c r="S34" i="13"/>
  <c r="T20" i="13"/>
  <c r="T20" i="12"/>
  <c r="T22" i="15" s="1"/>
  <c r="T8" i="12"/>
  <c r="T10" i="15" s="1"/>
  <c r="T8" i="13"/>
  <c r="T52" i="13"/>
  <c r="T52" i="12"/>
  <c r="T54" i="15" s="1"/>
  <c r="S39" i="13"/>
  <c r="S39" i="12"/>
  <c r="S41" i="15" s="1"/>
  <c r="V51" i="13"/>
  <c r="V51" i="12"/>
  <c r="V53" i="15" s="1"/>
  <c r="T51" i="12"/>
  <c r="T53" i="15" s="1"/>
  <c r="T51" i="13"/>
  <c r="S7" i="12"/>
  <c r="S9" i="15" s="1"/>
  <c r="S7" i="13"/>
  <c r="S8" i="13"/>
  <c r="S8" i="12"/>
  <c r="S10" i="15" s="1"/>
  <c r="T48" i="12"/>
  <c r="T50" i="15" s="1"/>
  <c r="T48" i="13"/>
  <c r="S32" i="12"/>
  <c r="S34" i="15" s="1"/>
  <c r="S32" i="13"/>
  <c r="V41" i="12"/>
  <c r="V43" i="15" s="1"/>
  <c r="V41" i="13"/>
  <c r="S10" i="13"/>
  <c r="S10" i="12"/>
  <c r="S12" i="15" s="1"/>
  <c r="S14" i="13"/>
  <c r="S14" i="12"/>
  <c r="S16" i="15" s="1"/>
  <c r="S41" i="12"/>
  <c r="S43" i="15" s="1"/>
  <c r="S41" i="13"/>
  <c r="X40" i="12"/>
  <c r="X42" i="15" s="1"/>
  <c r="X40" i="13"/>
  <c r="U19" i="13"/>
  <c r="U19" i="12"/>
  <c r="U21" i="15" s="1"/>
  <c r="S26" i="12"/>
  <c r="S28" i="15" s="1"/>
  <c r="S26" i="13"/>
  <c r="T31" i="13"/>
  <c r="T31" i="12"/>
  <c r="T33" i="15" s="1"/>
  <c r="V52" i="13"/>
  <c r="V52" i="12"/>
  <c r="V54" i="15" s="1"/>
  <c r="S17" i="13"/>
  <c r="S17" i="12"/>
  <c r="S19" i="15" s="1"/>
  <c r="S20" i="12"/>
  <c r="S22" i="15" s="1"/>
  <c r="S20" i="13"/>
  <c r="S18" i="13"/>
  <c r="S18" i="12"/>
  <c r="S20" i="15" s="1"/>
  <c r="U21" i="12"/>
  <c r="U23" i="15" s="1"/>
  <c r="U21" i="13"/>
  <c r="V8" i="13"/>
  <c r="V8" i="12"/>
  <c r="V10" i="15" s="1"/>
  <c r="T23" i="12"/>
  <c r="T25" i="15" s="1"/>
  <c r="T23" i="13"/>
  <c r="U23" i="13"/>
  <c r="U23" i="12"/>
  <c r="U25" i="15" s="1"/>
  <c r="U7" i="12"/>
  <c r="U9" i="15" s="1"/>
  <c r="U7" i="13"/>
  <c r="T26" i="12"/>
  <c r="T28" i="15" s="1"/>
  <c r="T26" i="13"/>
  <c r="S21" i="13"/>
  <c r="S21" i="12"/>
  <c r="S23" i="15" s="1"/>
  <c r="S28" i="13"/>
  <c r="S28" i="12"/>
  <c r="S30" i="15" s="1"/>
  <c r="V48" i="12"/>
  <c r="V50" i="15" s="1"/>
  <c r="V48" i="13"/>
  <c r="S12" i="12"/>
  <c r="S14" i="15" s="1"/>
  <c r="S12" i="13"/>
  <c r="S27" i="13"/>
  <c r="S27" i="12"/>
  <c r="S29" i="15" s="1"/>
  <c r="U17" i="13"/>
  <c r="U17" i="12"/>
  <c r="U19" i="15" s="1"/>
  <c r="T19" i="12"/>
  <c r="T21" i="15" s="1"/>
  <c r="T19" i="13"/>
  <c r="S15" i="13"/>
  <c r="S15" i="12"/>
  <c r="S17" i="15" s="1"/>
  <c r="U40" i="13"/>
  <c r="U40" i="12"/>
  <c r="U42" i="15" s="1"/>
  <c r="S31" i="12"/>
  <c r="S33" i="15" s="1"/>
  <c r="S31" i="13"/>
  <c r="S40" i="13"/>
  <c r="S40" i="12"/>
  <c r="S42" i="15" s="1"/>
  <c r="T18" i="13"/>
  <c r="T18" i="12"/>
  <c r="T20" i="15" s="1"/>
  <c r="U41" i="13"/>
  <c r="U41" i="12"/>
  <c r="U43" i="15" s="1"/>
  <c r="V7" i="12"/>
  <c r="V9" i="15" s="1"/>
  <c r="V7" i="13"/>
  <c r="T32" i="13"/>
  <c r="T32" i="12"/>
  <c r="T34" i="15" s="1"/>
  <c r="U47" i="13"/>
  <c r="U47" i="12"/>
  <c r="U49" i="15" s="1"/>
  <c r="S51" i="12"/>
  <c r="S53" i="15" s="1"/>
  <c r="S51" i="13"/>
  <c r="S37" i="13"/>
  <c r="S37" i="12"/>
  <c r="S39" i="15" s="1"/>
  <c r="S13" i="13"/>
  <c r="S13" i="12"/>
  <c r="S15" i="15" s="1"/>
  <c r="S25" i="13"/>
  <c r="S25" i="12"/>
  <c r="S27" i="15" s="1"/>
  <c r="O49" i="15"/>
  <c r="N49" i="15"/>
  <c r="I10" i="4"/>
  <c r="K26" i="4"/>
  <c r="I12" i="4"/>
  <c r="L14" i="4"/>
  <c r="K51" i="4"/>
  <c r="K13" i="4"/>
  <c r="L18" i="4"/>
  <c r="K15" i="4"/>
  <c r="I9" i="4"/>
  <c r="L21" i="4"/>
  <c r="L30" i="4"/>
  <c r="M47" i="4"/>
  <c r="L13" i="4"/>
  <c r="L40" i="4"/>
  <c r="M48" i="4"/>
  <c r="K27" i="4"/>
  <c r="K14" i="4"/>
  <c r="I34" i="4"/>
  <c r="J20" i="4"/>
  <c r="J8" i="4"/>
  <c r="J52" i="4"/>
  <c r="I39" i="4"/>
  <c r="L51" i="4"/>
  <c r="J51" i="4"/>
  <c r="I7" i="4"/>
  <c r="I8" i="4"/>
  <c r="J48" i="4"/>
  <c r="L11" i="4"/>
  <c r="I19" i="4"/>
  <c r="J31" i="4"/>
  <c r="I41" i="4"/>
  <c r="L52" i="4"/>
  <c r="I31" i="4"/>
  <c r="J19" i="4"/>
  <c r="I14" i="4"/>
  <c r="I15" i="4"/>
  <c r="J27" i="4"/>
  <c r="K40" i="4"/>
  <c r="I17" i="4"/>
  <c r="I20" i="4"/>
  <c r="I18" i="4"/>
  <c r="K21" i="4"/>
  <c r="L8" i="4"/>
  <c r="J23" i="4"/>
  <c r="K23" i="4"/>
  <c r="K7" i="4"/>
  <c r="J26" i="4"/>
  <c r="I21" i="4"/>
  <c r="I28" i="4"/>
  <c r="L48" i="4"/>
  <c r="J21" i="4"/>
  <c r="K41" i="4"/>
  <c r="L7" i="4"/>
  <c r="K47" i="4"/>
  <c r="I37" i="4"/>
  <c r="I13" i="4"/>
  <c r="I25" i="4"/>
  <c r="L27" i="4"/>
  <c r="J18" i="4"/>
  <c r="J32" i="4"/>
  <c r="I51" i="4"/>
  <c r="I46" i="4"/>
  <c r="J30" i="4"/>
  <c r="K8" i="4"/>
  <c r="K28" i="4"/>
  <c r="K32" i="4"/>
  <c r="J7" i="4"/>
  <c r="J15" i="4"/>
  <c r="I44" i="4"/>
  <c r="J47" i="4"/>
  <c r="I47" i="4"/>
  <c r="N48" i="4"/>
  <c r="I26" i="4"/>
  <c r="L12" i="4"/>
  <c r="I32" i="4"/>
  <c r="J11" i="4"/>
  <c r="N40" i="4"/>
  <c r="J13" i="4"/>
  <c r="K18" i="4"/>
  <c r="I11" i="4"/>
  <c r="I27" i="4"/>
  <c r="L47" i="4"/>
  <c r="K52" i="4"/>
  <c r="I36" i="4"/>
  <c r="J41" i="4"/>
  <c r="K12" i="4"/>
  <c r="K19" i="4"/>
  <c r="K17" i="4"/>
  <c r="I33" i="4"/>
  <c r="K11" i="4"/>
  <c r="K31" i="4"/>
  <c r="L41" i="4"/>
  <c r="K9" i="4"/>
  <c r="I52" i="4"/>
  <c r="J17" i="4"/>
  <c r="K44" i="4"/>
  <c r="L24" i="4"/>
  <c r="J9" i="4"/>
  <c r="I30" i="4"/>
  <c r="L23" i="4"/>
  <c r="J24" i="4"/>
  <c r="J46" i="4"/>
  <c r="K46" i="4"/>
  <c r="J44" i="4"/>
  <c r="I35" i="4"/>
  <c r="K20" i="4"/>
  <c r="L44" i="4"/>
  <c r="I45" i="4"/>
  <c r="L31" i="4"/>
  <c r="J28" i="4"/>
  <c r="I23" i="4"/>
  <c r="I6" i="4"/>
  <c r="J40" i="4"/>
  <c r="I29" i="4"/>
  <c r="K30" i="4"/>
  <c r="J14" i="4"/>
  <c r="L28" i="4"/>
  <c r="L9" i="4"/>
  <c r="K48" i="4"/>
  <c r="I40" i="4"/>
  <c r="J12" i="4"/>
  <c r="I22" i="4"/>
  <c r="M40" i="4"/>
  <c r="I48" i="4"/>
  <c r="I24" i="4"/>
  <c r="L20" i="4"/>
  <c r="L26" i="4"/>
  <c r="L19" i="4"/>
  <c r="K24" i="4"/>
  <c r="L32" i="4"/>
  <c r="S38" i="10"/>
  <c r="I38" i="10" s="1"/>
  <c r="S38" i="4"/>
  <c r="O151" i="20" l="1"/>
  <c r="O142" i="21"/>
  <c r="O135" i="21"/>
  <c r="A135" i="21" s="1"/>
  <c r="O137" i="21"/>
  <c r="A137" i="21" s="1"/>
  <c r="O138" i="21"/>
  <c r="A138" i="21" s="1"/>
  <c r="O136" i="21"/>
  <c r="A136" i="21" s="1"/>
  <c r="T108" i="21"/>
  <c r="J108" i="21" s="1"/>
  <c r="U106" i="21"/>
  <c r="K106" i="21" s="1"/>
  <c r="T105" i="21"/>
  <c r="J105" i="21" s="1"/>
  <c r="T104" i="21"/>
  <c r="J104" i="21" s="1"/>
  <c r="T107" i="21"/>
  <c r="J107" i="21" s="1"/>
  <c r="U105" i="21"/>
  <c r="K105" i="21" s="1"/>
  <c r="T109" i="21"/>
  <c r="J109" i="21" s="1"/>
  <c r="O100" i="21"/>
  <c r="O88" i="21"/>
  <c r="W50" i="16"/>
  <c r="T21" i="16"/>
  <c r="U23" i="16"/>
  <c r="S28" i="16"/>
  <c r="U16" i="16"/>
  <c r="U20" i="16"/>
  <c r="V23" i="16"/>
  <c r="W42" i="16"/>
  <c r="U32" i="16"/>
  <c r="T26" i="16"/>
  <c r="T23" i="16"/>
  <c r="T28" i="16"/>
  <c r="S34" i="16"/>
  <c r="T48" i="16"/>
  <c r="S11" i="16"/>
  <c r="V26" i="16"/>
  <c r="V21" i="16"/>
  <c r="V16" i="16"/>
  <c r="S55" i="16"/>
  <c r="S31" i="16"/>
  <c r="T49" i="16"/>
  <c r="U10" i="16"/>
  <c r="S38" i="16"/>
  <c r="S39" i="16"/>
  <c r="S42" i="16"/>
  <c r="S29" i="16"/>
  <c r="T55" i="16"/>
  <c r="V13" i="16"/>
  <c r="V42" i="16"/>
  <c r="V28" i="16"/>
  <c r="T42" i="16"/>
  <c r="S46" i="16"/>
  <c r="T32" i="16"/>
  <c r="U48" i="16"/>
  <c r="S41" i="16"/>
  <c r="S54" i="16"/>
  <c r="U9" i="16"/>
  <c r="X42" i="16"/>
  <c r="T50" i="16"/>
  <c r="U29" i="16"/>
  <c r="U17" i="16"/>
  <c r="U13" i="16"/>
  <c r="S24" i="16"/>
  <c r="U50" i="16"/>
  <c r="V46" i="16"/>
  <c r="T46" i="16"/>
  <c r="U21" i="16"/>
  <c r="U49" i="16"/>
  <c r="U25" i="16"/>
  <c r="S19" i="16"/>
  <c r="S10" i="16"/>
  <c r="V29" i="16"/>
  <c r="T15" i="16"/>
  <c r="V15" i="16"/>
  <c r="V11" i="16"/>
  <c r="T17" i="16"/>
  <c r="S48" i="16"/>
  <c r="S47" i="16"/>
  <c r="S33" i="16"/>
  <c r="S14" i="16"/>
  <c r="T10" i="16"/>
  <c r="V20" i="16"/>
  <c r="U55" i="16"/>
  <c r="V25" i="16"/>
  <c r="S8" i="16"/>
  <c r="T11" i="16"/>
  <c r="U33" i="16"/>
  <c r="U42" i="16"/>
  <c r="V55" i="16"/>
  <c r="S16" i="16"/>
  <c r="W49" i="16"/>
  <c r="U15" i="16"/>
  <c r="S26" i="16"/>
  <c r="V30" i="16"/>
  <c r="T14" i="16"/>
  <c r="T9" i="16"/>
  <c r="T29" i="16"/>
  <c r="U19" i="16"/>
  <c r="V50" i="16"/>
  <c r="T25" i="16"/>
  <c r="S9" i="16"/>
  <c r="U14" i="16"/>
  <c r="U28" i="16"/>
  <c r="S37" i="16"/>
  <c r="S25" i="16"/>
  <c r="U46" i="16"/>
  <c r="S20" i="16"/>
  <c r="S27" i="16"/>
  <c r="S17" i="16"/>
  <c r="S30" i="16"/>
  <c r="V10" i="16"/>
  <c r="T33" i="16"/>
  <c r="S13" i="16"/>
  <c r="V32" i="16"/>
  <c r="T19" i="16"/>
  <c r="T30" i="16"/>
  <c r="X50" i="16"/>
  <c r="U34" i="16"/>
  <c r="V9" i="16"/>
  <c r="T54" i="16"/>
  <c r="S36" i="16"/>
  <c r="T13" i="16"/>
  <c r="U54" i="16"/>
  <c r="V34" i="16"/>
  <c r="S50" i="16"/>
  <c r="T16" i="16"/>
  <c r="S35" i="16"/>
  <c r="S21" i="16"/>
  <c r="T20" i="16"/>
  <c r="T34" i="16"/>
  <c r="S15" i="16"/>
  <c r="S23" i="16"/>
  <c r="V54" i="16"/>
  <c r="V14" i="16"/>
  <c r="S32" i="16"/>
  <c r="U26" i="16"/>
  <c r="V49" i="16"/>
  <c r="V33" i="16"/>
  <c r="S49" i="16"/>
  <c r="U30" i="16"/>
  <c r="U11" i="16"/>
  <c r="L55" i="16"/>
  <c r="M26" i="16"/>
  <c r="M13" i="16"/>
  <c r="S38" i="13"/>
  <c r="S38" i="12"/>
  <c r="S40" i="15" s="1"/>
  <c r="I48" i="12"/>
  <c r="I50" i="15"/>
  <c r="L23" i="12"/>
  <c r="L41" i="12"/>
  <c r="I36" i="12"/>
  <c r="K8" i="12"/>
  <c r="J32" i="12"/>
  <c r="I13" i="12"/>
  <c r="I15" i="15"/>
  <c r="J23" i="12"/>
  <c r="L52" i="12"/>
  <c r="M47" i="12"/>
  <c r="L14" i="12"/>
  <c r="I11" i="12"/>
  <c r="J11" i="12"/>
  <c r="N48" i="12"/>
  <c r="J15" i="12"/>
  <c r="K41" i="12"/>
  <c r="I21" i="12"/>
  <c r="I20" i="12"/>
  <c r="I15" i="12"/>
  <c r="L11" i="12"/>
  <c r="J51" i="12"/>
  <c r="J8" i="12"/>
  <c r="K27" i="12"/>
  <c r="K15" i="12"/>
  <c r="I45" i="12"/>
  <c r="I23" i="12"/>
  <c r="L44" i="12"/>
  <c r="K46" i="12"/>
  <c r="K48" i="15"/>
  <c r="K18" i="12"/>
  <c r="I32" i="12"/>
  <c r="J7" i="12"/>
  <c r="J26" i="12"/>
  <c r="J28" i="15"/>
  <c r="L30" i="12"/>
  <c r="I12" i="12"/>
  <c r="M40" i="12"/>
  <c r="J17" i="12"/>
  <c r="I37" i="12"/>
  <c r="I14" i="12"/>
  <c r="I40" i="12"/>
  <c r="I42" i="15"/>
  <c r="K17" i="12"/>
  <c r="I30" i="12"/>
  <c r="I32" i="15"/>
  <c r="J30" i="12"/>
  <c r="J18" i="12"/>
  <c r="J21" i="12"/>
  <c r="L8" i="12"/>
  <c r="I17" i="12"/>
  <c r="I41" i="12"/>
  <c r="J48" i="12"/>
  <c r="L51" i="12"/>
  <c r="J20" i="12"/>
  <c r="M48" i="12"/>
  <c r="L18" i="12"/>
  <c r="L19" i="12"/>
  <c r="K48" i="12"/>
  <c r="K31" i="12"/>
  <c r="L20" i="12"/>
  <c r="L47" i="12"/>
  <c r="J47" i="12"/>
  <c r="K47" i="12"/>
  <c r="K7" i="12"/>
  <c r="K21" i="12"/>
  <c r="J19" i="12"/>
  <c r="J21" i="15"/>
  <c r="L40" i="12"/>
  <c r="L21" i="12"/>
  <c r="K13" i="12"/>
  <c r="K26" i="12"/>
  <c r="J44" i="12"/>
  <c r="J46" i="15"/>
  <c r="K30" i="12"/>
  <c r="K32" i="15"/>
  <c r="K19" i="12"/>
  <c r="I52" i="12"/>
  <c r="I22" i="12"/>
  <c r="I29" i="12"/>
  <c r="J46" i="12"/>
  <c r="K12" i="12"/>
  <c r="L12" i="12"/>
  <c r="I46" i="12"/>
  <c r="L48" i="12"/>
  <c r="J31" i="12"/>
  <c r="I8" i="12"/>
  <c r="I34" i="12"/>
  <c r="J14" i="12"/>
  <c r="L26" i="12"/>
  <c r="K52" i="12"/>
  <c r="J9" i="12"/>
  <c r="L32" i="12"/>
  <c r="L9" i="12"/>
  <c r="J28" i="12"/>
  <c r="K20" i="12"/>
  <c r="K11" i="12"/>
  <c r="J13" i="12"/>
  <c r="K32" i="12"/>
  <c r="L27" i="12"/>
  <c r="K40" i="12"/>
  <c r="I39" i="12"/>
  <c r="K44" i="12"/>
  <c r="I47" i="12"/>
  <c r="J12" i="12"/>
  <c r="L24" i="12"/>
  <c r="I33" i="12"/>
  <c r="N40" i="12"/>
  <c r="N42" i="15"/>
  <c r="I26" i="12"/>
  <c r="I51" i="12"/>
  <c r="K23" i="12"/>
  <c r="K25" i="15"/>
  <c r="I19" i="12"/>
  <c r="J52" i="12"/>
  <c r="K14" i="12"/>
  <c r="I9" i="12"/>
  <c r="I11" i="15"/>
  <c r="I24" i="12"/>
  <c r="I26" i="15"/>
  <c r="J40" i="12"/>
  <c r="I35" i="12"/>
  <c r="K9" i="12"/>
  <c r="J41" i="12"/>
  <c r="I27" i="12"/>
  <c r="K28" i="12"/>
  <c r="I25" i="12"/>
  <c r="L7" i="12"/>
  <c r="I28" i="12"/>
  <c r="I18" i="12"/>
  <c r="I20" i="15"/>
  <c r="J27" i="12"/>
  <c r="I31" i="12"/>
  <c r="I7" i="12"/>
  <c r="L13" i="12"/>
  <c r="K51" i="12"/>
  <c r="I10" i="12"/>
  <c r="K24" i="12"/>
  <c r="L28" i="12"/>
  <c r="L31" i="12"/>
  <c r="L33" i="15"/>
  <c r="J24" i="12"/>
  <c r="I44" i="12"/>
  <c r="I38" i="4"/>
  <c r="R50" i="9"/>
  <c r="O150" i="21" l="1"/>
  <c r="H5" i="25"/>
  <c r="Z36" i="16"/>
  <c r="Z8" i="16"/>
  <c r="I49" i="16"/>
  <c r="Z49" i="16"/>
  <c r="I21" i="16"/>
  <c r="Z21" i="16"/>
  <c r="Z37" i="16"/>
  <c r="Z26" i="16"/>
  <c r="Z10" i="16"/>
  <c r="Z14" i="16"/>
  <c r="I11" i="16"/>
  <c r="Z11" i="16"/>
  <c r="Z28" i="16"/>
  <c r="I50" i="16"/>
  <c r="Z50" i="16"/>
  <c r="Z33" i="16"/>
  <c r="Z22" i="16"/>
  <c r="Z29" i="16"/>
  <c r="Z13" i="16"/>
  <c r="Z32" i="16"/>
  <c r="Z9" i="16"/>
  <c r="Z16" i="16"/>
  <c r="Z47" i="16"/>
  <c r="I42" i="16"/>
  <c r="Z42" i="16"/>
  <c r="Z34" i="16"/>
  <c r="Z43" i="16"/>
  <c r="Z48" i="16"/>
  <c r="I54" i="16"/>
  <c r="Z54" i="16"/>
  <c r="Z39" i="16"/>
  <c r="Z30" i="16"/>
  <c r="Z41" i="16"/>
  <c r="Z38" i="16"/>
  <c r="K48" i="16"/>
  <c r="Z27" i="16"/>
  <c r="I19" i="16"/>
  <c r="Z19" i="16"/>
  <c r="Z20" i="16"/>
  <c r="Z24" i="16"/>
  <c r="Z23" i="16"/>
  <c r="Z15" i="16"/>
  <c r="I46" i="16"/>
  <c r="Z46" i="16"/>
  <c r="I55" i="16"/>
  <c r="Z55" i="16"/>
  <c r="Z35" i="16"/>
  <c r="I17" i="16"/>
  <c r="Z17" i="16"/>
  <c r="Z31" i="16"/>
  <c r="Z25" i="16"/>
  <c r="M48" i="16"/>
  <c r="M15" i="16"/>
  <c r="M30" i="16"/>
  <c r="M20" i="16"/>
  <c r="M29" i="16"/>
  <c r="L28" i="16"/>
  <c r="M32" i="16"/>
  <c r="L9" i="16"/>
  <c r="M28" i="16"/>
  <c r="L32" i="16"/>
  <c r="J37" i="16"/>
  <c r="N17" i="16"/>
  <c r="J24" i="16"/>
  <c r="I27" i="16"/>
  <c r="L46" i="16"/>
  <c r="K17" i="16"/>
  <c r="M49" i="16"/>
  <c r="I29" i="16"/>
  <c r="L25" i="16"/>
  <c r="J46" i="16"/>
  <c r="L21" i="16"/>
  <c r="I15" i="16"/>
  <c r="M55" i="16"/>
  <c r="K26" i="16"/>
  <c r="J34" i="16"/>
  <c r="J30" i="16"/>
  <c r="K14" i="16"/>
  <c r="J22" i="16"/>
  <c r="L26" i="16"/>
  <c r="J26" i="16"/>
  <c r="I28" i="16"/>
  <c r="J11" i="16"/>
  <c r="J50" i="16"/>
  <c r="J23" i="16"/>
  <c r="L43" i="16"/>
  <c r="L29" i="16"/>
  <c r="K54" i="16"/>
  <c r="M23" i="16"/>
  <c r="J9" i="16"/>
  <c r="K55" i="16"/>
  <c r="L48" i="16"/>
  <c r="J32" i="16"/>
  <c r="J29" i="16"/>
  <c r="M25" i="16"/>
  <c r="L34" i="16"/>
  <c r="J20" i="16"/>
  <c r="J13" i="16"/>
  <c r="J19" i="16"/>
  <c r="I16" i="16"/>
  <c r="I22" i="16"/>
  <c r="J42" i="16"/>
  <c r="K32" i="16"/>
  <c r="K23" i="16"/>
  <c r="K21" i="16"/>
  <c r="I33" i="16"/>
  <c r="M16" i="16"/>
  <c r="I32" i="16"/>
  <c r="J27" i="16"/>
  <c r="M34" i="16"/>
  <c r="K11" i="16"/>
  <c r="L14" i="16"/>
  <c r="I20" i="16"/>
  <c r="J14" i="16"/>
  <c r="J17" i="16"/>
  <c r="K25" i="16"/>
  <c r="I30" i="16"/>
  <c r="J48" i="16"/>
  <c r="J21" i="16"/>
  <c r="M46" i="16"/>
  <c r="J54" i="16"/>
  <c r="K46" i="16"/>
  <c r="K42" i="16"/>
  <c r="K13" i="16"/>
  <c r="L42" i="16"/>
  <c r="K16" i="16"/>
  <c r="N30" i="16"/>
  <c r="J25" i="16"/>
  <c r="I26" i="16"/>
  <c r="L13" i="16"/>
  <c r="I34" i="16"/>
  <c r="L17" i="16"/>
  <c r="J16" i="16"/>
  <c r="J33" i="16"/>
  <c r="I25" i="16"/>
  <c r="K33" i="16"/>
  <c r="K22" i="16"/>
  <c r="K28" i="16"/>
  <c r="I13" i="16"/>
  <c r="K30" i="16"/>
  <c r="N55" i="16"/>
  <c r="L30" i="16"/>
  <c r="M33" i="16"/>
  <c r="K34" i="16"/>
  <c r="L50" i="16"/>
  <c r="K15" i="16"/>
  <c r="K29" i="16"/>
  <c r="J55" i="16"/>
  <c r="J28" i="16"/>
  <c r="L54" i="16"/>
  <c r="L33" i="16"/>
  <c r="N43" i="16"/>
  <c r="I23" i="16"/>
  <c r="I35" i="16"/>
  <c r="I36" i="16"/>
  <c r="I38" i="16"/>
  <c r="L49" i="16"/>
  <c r="K43" i="16"/>
  <c r="M14" i="16"/>
  <c r="I43" i="16"/>
  <c r="L11" i="16"/>
  <c r="K10" i="16"/>
  <c r="N46" i="16"/>
  <c r="J10" i="16"/>
  <c r="J43" i="16"/>
  <c r="I8" i="16"/>
  <c r="I14" i="16"/>
  <c r="L22" i="16"/>
  <c r="K50" i="16"/>
  <c r="N42" i="16"/>
  <c r="J49" i="16"/>
  <c r="I41" i="16"/>
  <c r="I9" i="16"/>
  <c r="L15" i="16"/>
  <c r="K49" i="16"/>
  <c r="I24" i="16"/>
  <c r="I31" i="16"/>
  <c r="M42" i="16"/>
  <c r="N50" i="16"/>
  <c r="K19" i="16"/>
  <c r="L10" i="16"/>
  <c r="I47" i="16"/>
  <c r="J15" i="16"/>
  <c r="K9" i="16"/>
  <c r="L23" i="16"/>
  <c r="I10" i="16"/>
  <c r="I37" i="16"/>
  <c r="L20" i="16"/>
  <c r="I48" i="16"/>
  <c r="I39" i="16"/>
  <c r="L16" i="16"/>
  <c r="K20" i="16"/>
  <c r="M50" i="16"/>
  <c r="K31" i="16"/>
  <c r="J31" i="16"/>
  <c r="K39" i="16"/>
  <c r="J39" i="16"/>
  <c r="N28" i="16"/>
  <c r="J8" i="16"/>
  <c r="K47" i="16"/>
  <c r="J47" i="16"/>
  <c r="N16" i="16"/>
  <c r="N26" i="16"/>
  <c r="N13" i="16"/>
  <c r="N20" i="16"/>
  <c r="N50" i="15"/>
  <c r="I22" i="15"/>
  <c r="J20" i="15"/>
  <c r="J14" i="15"/>
  <c r="M50" i="15"/>
  <c r="I41" i="15"/>
  <c r="I39" i="15"/>
  <c r="K11" i="15"/>
  <c r="J19" i="15"/>
  <c r="K9" i="15"/>
  <c r="K30" i="15"/>
  <c r="K14" i="15"/>
  <c r="I12" i="15"/>
  <c r="I21" i="15"/>
  <c r="L23" i="15"/>
  <c r="K26" i="15"/>
  <c r="I43" i="15"/>
  <c r="L46" i="15"/>
  <c r="M42" i="15"/>
  <c r="K54" i="15"/>
  <c r="J48" i="15"/>
  <c r="L22" i="15"/>
  <c r="I28" i="15"/>
  <c r="K21" i="15"/>
  <c r="L53" i="15"/>
  <c r="I37" i="15"/>
  <c r="I25" i="15"/>
  <c r="J11" i="15"/>
  <c r="L42" i="15"/>
  <c r="J32" i="15"/>
  <c r="I30" i="15"/>
  <c r="I49" i="15"/>
  <c r="K15" i="15"/>
  <c r="K43" i="15"/>
  <c r="K53" i="15"/>
  <c r="I31" i="15"/>
  <c r="K17" i="15"/>
  <c r="L15" i="15"/>
  <c r="K16" i="15"/>
  <c r="I16" i="15"/>
  <c r="M49" i="15"/>
  <c r="I35" i="15"/>
  <c r="L26" i="15"/>
  <c r="I24" i="15"/>
  <c r="J33" i="15"/>
  <c r="I54" i="15"/>
  <c r="L13" i="15"/>
  <c r="I46" i="15"/>
  <c r="L14" i="15"/>
  <c r="J34" i="15"/>
  <c r="J53" i="15"/>
  <c r="J43" i="15"/>
  <c r="J15" i="15"/>
  <c r="K49" i="15"/>
  <c r="J42" i="15"/>
  <c r="I14" i="15"/>
  <c r="L50" i="15"/>
  <c r="L54" i="15"/>
  <c r="L20" i="15"/>
  <c r="K22" i="15"/>
  <c r="J13" i="15"/>
  <c r="K46" i="15"/>
  <c r="J49" i="15"/>
  <c r="J29" i="15"/>
  <c r="I47" i="15"/>
  <c r="K33" i="15"/>
  <c r="L10" i="15"/>
  <c r="I34" i="15"/>
  <c r="I23" i="15"/>
  <c r="K20" i="15"/>
  <c r="I9" i="15"/>
  <c r="I27" i="15"/>
  <c r="K23" i="15"/>
  <c r="J10" i="15"/>
  <c r="L28" i="15"/>
  <c r="I48" i="15"/>
  <c r="I38" i="15"/>
  <c r="K13" i="15"/>
  <c r="K10" i="15"/>
  <c r="I53" i="15"/>
  <c r="L43" i="15"/>
  <c r="I29" i="15"/>
  <c r="I19" i="15"/>
  <c r="I8" i="15"/>
  <c r="I13" i="15"/>
  <c r="J54" i="15"/>
  <c r="J23" i="15"/>
  <c r="L34" i="15"/>
  <c r="K42" i="15"/>
  <c r="I36" i="15"/>
  <c r="K34" i="15"/>
  <c r="I17" i="15"/>
  <c r="I10" i="15"/>
  <c r="J50" i="15"/>
  <c r="J17" i="15"/>
  <c r="J9" i="15"/>
  <c r="L30" i="15"/>
  <c r="I33" i="15"/>
  <c r="L11" i="15"/>
  <c r="K28" i="15"/>
  <c r="K50" i="15"/>
  <c r="J25" i="15"/>
  <c r="L32" i="15"/>
  <c r="K19" i="15"/>
  <c r="L21" i="15"/>
  <c r="L29" i="15"/>
  <c r="L25" i="15"/>
  <c r="J30" i="15"/>
  <c r="L49" i="15"/>
  <c r="L16" i="15"/>
  <c r="J22" i="15"/>
  <c r="K29" i="15"/>
  <c r="J26" i="15"/>
  <c r="L9" i="15"/>
  <c r="J16" i="15"/>
  <c r="I38" i="12"/>
  <c r="H7" i="25" l="1"/>
  <c r="K5" i="25"/>
  <c r="J5" i="25"/>
  <c r="I5" i="25"/>
  <c r="H6" i="25"/>
  <c r="N32" i="16"/>
  <c r="N34" i="16"/>
  <c r="N15" i="16"/>
  <c r="N14" i="16"/>
  <c r="N33" i="16"/>
  <c r="K24" i="16"/>
  <c r="L37" i="16"/>
  <c r="K38" i="16"/>
  <c r="L35" i="16"/>
  <c r="K36" i="16"/>
  <c r="L36" i="16"/>
  <c r="K37" i="16"/>
  <c r="K8" i="16"/>
  <c r="O55" i="16"/>
  <c r="N25" i="16"/>
  <c r="J36" i="16"/>
  <c r="O30" i="16"/>
  <c r="J35" i="16"/>
  <c r="O43" i="16"/>
  <c r="N23" i="16"/>
  <c r="M17" i="16"/>
  <c r="J41" i="16"/>
  <c r="M9" i="16"/>
  <c r="M11" i="16"/>
  <c r="M21" i="16"/>
  <c r="J38" i="16"/>
  <c r="M10" i="16"/>
  <c r="M43" i="16"/>
  <c r="N48" i="16"/>
  <c r="M54" i="16"/>
  <c r="L41" i="16"/>
  <c r="L39" i="16"/>
  <c r="O28" i="16"/>
  <c r="L31" i="16"/>
  <c r="L19" i="16"/>
  <c r="L47" i="16"/>
  <c r="O46" i="16"/>
  <c r="L27" i="16"/>
  <c r="K27" i="16"/>
  <c r="L8" i="16"/>
  <c r="O34" i="16"/>
  <c r="O13" i="16"/>
  <c r="O16" i="16"/>
  <c r="O23" i="16"/>
  <c r="O14" i="16"/>
  <c r="O26" i="16"/>
  <c r="O20" i="16"/>
  <c r="I40" i="15"/>
  <c r="M5" i="25" l="1"/>
  <c r="O5" i="25"/>
  <c r="K7" i="25"/>
  <c r="O7" i="25" s="1"/>
  <c r="K6" i="25"/>
  <c r="J7" i="25"/>
  <c r="J6" i="25"/>
  <c r="I7" i="25"/>
  <c r="I6" i="25"/>
  <c r="N5" i="25"/>
  <c r="L38" i="16"/>
  <c r="O32" i="16"/>
  <c r="O15" i="16"/>
  <c r="O33" i="16"/>
  <c r="N29" i="16"/>
  <c r="O29" i="16"/>
  <c r="L24" i="16"/>
  <c r="K35" i="16"/>
  <c r="N21" i="16"/>
  <c r="O21" i="16"/>
  <c r="O25" i="16"/>
  <c r="K41" i="16"/>
  <c r="O11" i="16"/>
  <c r="N11" i="16"/>
  <c r="O9" i="16"/>
  <c r="N9" i="16"/>
  <c r="O10" i="16"/>
  <c r="N10" i="16"/>
  <c r="N54" i="16"/>
  <c r="O54" i="16"/>
  <c r="M19" i="16"/>
  <c r="N19" i="16"/>
  <c r="I6" i="12"/>
  <c r="H123" i="10"/>
  <c r="E117" i="10"/>
  <c r="E118" i="10"/>
  <c r="E119" i="10"/>
  <c r="E120" i="10"/>
  <c r="L88" i="13"/>
  <c r="I42" i="13"/>
  <c r="I50" i="13"/>
  <c r="K32" i="13"/>
  <c r="M47" i="13"/>
  <c r="I40" i="13"/>
  <c r="K43" i="13"/>
  <c r="J8" i="13"/>
  <c r="J30" i="13"/>
  <c r="I36" i="13"/>
  <c r="J20" i="13"/>
  <c r="K46" i="13"/>
  <c r="I44" i="13"/>
  <c r="L50" i="13"/>
  <c r="L48" i="13"/>
  <c r="K15" i="13"/>
  <c r="I46" i="13"/>
  <c r="L28" i="13"/>
  <c r="I43" i="13"/>
  <c r="J12" i="13"/>
  <c r="I6" i="13"/>
  <c r="L44" i="13"/>
  <c r="I31" i="13"/>
  <c r="L51" i="13"/>
  <c r="L19" i="13"/>
  <c r="K19" i="13"/>
  <c r="J40" i="13"/>
  <c r="K11" i="13"/>
  <c r="I21" i="13"/>
  <c r="I38" i="13"/>
  <c r="E119" i="13"/>
  <c r="I51" i="13"/>
  <c r="J44" i="13"/>
  <c r="I10" i="13"/>
  <c r="I48" i="13"/>
  <c r="I47" i="13"/>
  <c r="L30" i="13"/>
  <c r="K12" i="13"/>
  <c r="I35" i="13"/>
  <c r="K40" i="13"/>
  <c r="J24" i="13"/>
  <c r="I26" i="13"/>
  <c r="H123" i="13"/>
  <c r="I13" i="13"/>
  <c r="K48" i="13"/>
  <c r="K47" i="13"/>
  <c r="I7" i="13"/>
  <c r="L13" i="13"/>
  <c r="J31" i="13"/>
  <c r="N40" i="13"/>
  <c r="L91" i="13"/>
  <c r="J28" i="13"/>
  <c r="I41" i="13"/>
  <c r="K41" i="13"/>
  <c r="L9" i="13"/>
  <c r="L40" i="13"/>
  <c r="K28" i="13"/>
  <c r="L20" i="13"/>
  <c r="K20" i="13"/>
  <c r="I30" i="13"/>
  <c r="K26" i="13"/>
  <c r="E117" i="13"/>
  <c r="K17" i="13"/>
  <c r="I18" i="13"/>
  <c r="K23" i="13"/>
  <c r="I28" i="13"/>
  <c r="K8" i="13"/>
  <c r="H83" i="13"/>
  <c r="J50" i="13"/>
  <c r="I15" i="13"/>
  <c r="M88" i="13"/>
  <c r="J32" i="13"/>
  <c r="K27" i="13"/>
  <c r="K30" i="13"/>
  <c r="J13" i="13"/>
  <c r="K31" i="13"/>
  <c r="L24" i="13"/>
  <c r="I27" i="13"/>
  <c r="L21" i="13"/>
  <c r="N47" i="13"/>
  <c r="D80" i="13"/>
  <c r="I9" i="13"/>
  <c r="E120" i="13"/>
  <c r="J14" i="13"/>
  <c r="J26" i="13"/>
  <c r="I33" i="13"/>
  <c r="M90" i="13"/>
  <c r="K13" i="13"/>
  <c r="L8" i="13"/>
  <c r="K42" i="13"/>
  <c r="L41" i="13"/>
  <c r="K7" i="13"/>
  <c r="I8" i="13"/>
  <c r="L27" i="13"/>
  <c r="J48" i="13"/>
  <c r="K24" i="13"/>
  <c r="L47" i="13"/>
  <c r="E118" i="13"/>
  <c r="J43" i="13"/>
  <c r="I11" i="13"/>
  <c r="L92" i="13"/>
  <c r="J47" i="13"/>
  <c r="I45" i="13"/>
  <c r="N48" i="13"/>
  <c r="L32" i="13"/>
  <c r="J11" i="13"/>
  <c r="I22" i="13"/>
  <c r="J18" i="13"/>
  <c r="I29" i="13"/>
  <c r="I25" i="13"/>
  <c r="D76" i="13"/>
  <c r="I20" i="13"/>
  <c r="I14" i="13"/>
  <c r="M40" i="13"/>
  <c r="I24" i="13"/>
  <c r="J15" i="13"/>
  <c r="I37" i="13"/>
  <c r="J51" i="13"/>
  <c r="J9" i="13"/>
  <c r="K44" i="13"/>
  <c r="I12" i="13"/>
  <c r="J46" i="13"/>
  <c r="J41" i="13"/>
  <c r="K51" i="13"/>
  <c r="K9" i="13"/>
  <c r="L87" i="13"/>
  <c r="L7" i="13"/>
  <c r="L11" i="13"/>
  <c r="K21" i="13"/>
  <c r="J17" i="13"/>
  <c r="J23" i="13"/>
  <c r="J19" i="13"/>
  <c r="L52" i="13"/>
  <c r="L31" i="13"/>
  <c r="I34" i="13"/>
  <c r="O47" i="13"/>
  <c r="I52" i="13"/>
  <c r="L14" i="13"/>
  <c r="J7" i="13"/>
  <c r="L23" i="13"/>
  <c r="L12" i="13"/>
  <c r="J21" i="13"/>
  <c r="K18" i="13"/>
  <c r="H70" i="13"/>
  <c r="L93" i="13"/>
  <c r="L18" i="13"/>
  <c r="I32" i="13"/>
  <c r="I19" i="13"/>
  <c r="K50" i="13"/>
  <c r="L26" i="13"/>
  <c r="M48" i="13"/>
  <c r="K14" i="13"/>
  <c r="I39" i="13"/>
  <c r="J52" i="13"/>
  <c r="J27" i="13"/>
  <c r="K52" i="13"/>
  <c r="I16" i="13"/>
  <c r="I23" i="13"/>
  <c r="I17" i="13"/>
  <c r="M6" i="25" l="1"/>
  <c r="O6" i="25"/>
  <c r="N6" i="25"/>
  <c r="M7" i="25"/>
  <c r="N7"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Nelms, Pam </author>
  </authors>
  <commentList>
    <comment ref="B2" authorId="0" shapeId="0" xr:uid="{00000000-0006-0000-0000-000001000000}">
      <text>
        <r>
          <rPr>
            <b/>
            <sz val="8"/>
            <color indexed="81"/>
            <rFont val="Tahoma"/>
            <family val="2"/>
          </rPr>
          <t>Nelms, Pam :</t>
        </r>
        <r>
          <rPr>
            <sz val="8"/>
            <color indexed="81"/>
            <rFont val="Tahoma"/>
            <family val="2"/>
          </rPr>
          <t xml:space="preserve">
Effective January 1, 2018 
BEFORE any ATB is computed, provide market adjustments to the following jobs to make them have the following 2017-effective base rates: 
 $28.50 All  Maintenance Crew Leaders
$28.50 Lead Pipelayer III
$31.35 Cement Finisher
$26.582 max rate for Parking Meter Service Worker, Stock Worker and Shop Repair Worker
$28.00 for Asphalt Raker
To calculate the ATB for 2018, first add back the LIUNA value for 2017, then apply the ATB. The 2018 LIUNA will then be subtracted from that number to get the new 2018 wages.
The employer-made contribution to LIUNA fund for 2017 is $1.43 per hour and beginning January 1, 2018 it will be $1.58.  A wage concession commensurate with the value of the contribution has been agreed to, and the rates below reflect that concession. 
Step movement is allowed.
</t>
        </r>
      </text>
    </comment>
    <comment ref="C7" authorId="0" shapeId="0" xr:uid="{00000000-0006-0000-0000-000002000000}">
      <text>
        <r>
          <rPr>
            <b/>
            <sz val="8"/>
            <color indexed="81"/>
            <rFont val="Tahoma"/>
            <family val="2"/>
          </rPr>
          <t>Nelms, Pam :</t>
        </r>
        <r>
          <rPr>
            <sz val="8"/>
            <color indexed="81"/>
            <rFont val="Tahoma"/>
            <family val="2"/>
          </rPr>
          <t xml:space="preserve">
Nelmspk0:
Effective at the beginning of the pay period nearest to January 1, 2013:  change to regular wages Only:  LIUNA contribution is at $0.97 per hour.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xml:space="preserve">Miller, Brenda </author>
    <author>Miller, Brenda (she/her/hers)</author>
  </authors>
  <commentList>
    <comment ref="H47" authorId="0" shapeId="0" xr:uid="{82C0530A-9A43-43AC-ABF1-4CA4EB5D6EF9}">
      <text>
        <r>
          <rPr>
            <sz val="9"/>
            <color indexed="81"/>
            <rFont val="Tahoma"/>
            <family val="2"/>
          </rPr>
          <t xml:space="preserve">Excludes LIUNA
Amt per Trainee LOA
</t>
        </r>
      </text>
    </comment>
    <comment ref="I47" authorId="0" shapeId="0" xr:uid="{AE5C2E83-F524-4EF2-8A65-3D180627114B}">
      <text>
        <r>
          <rPr>
            <sz val="9"/>
            <color indexed="81"/>
            <rFont val="Tahoma"/>
            <family val="2"/>
          </rPr>
          <t xml:space="preserve">Excludes LIUNA
Amt per Trainee LOA
</t>
        </r>
      </text>
    </comment>
    <comment ref="R47" authorId="0" shapeId="0" xr:uid="{36B1E678-AD0F-4C38-8EDA-CDD164BA0771}">
      <text>
        <r>
          <rPr>
            <b/>
            <sz val="9"/>
            <color indexed="81"/>
            <rFont val="Tahoma"/>
            <family val="2"/>
          </rPr>
          <t>Miller, Brenda : Excluded LIUNA
Amt per Trainee LOA</t>
        </r>
        <r>
          <rPr>
            <sz val="9"/>
            <color indexed="81"/>
            <rFont val="Tahoma"/>
            <family val="2"/>
          </rPr>
          <t xml:space="preserve">
</t>
        </r>
      </text>
    </comment>
    <comment ref="S47" authorId="0" shapeId="0" xr:uid="{2802FA0F-2F7E-40A7-ABC6-B9DD19F278DC}">
      <text>
        <r>
          <rPr>
            <b/>
            <sz val="9"/>
            <color indexed="81"/>
            <rFont val="Tahoma"/>
            <family val="2"/>
          </rPr>
          <t>Miller, Brenda :</t>
        </r>
        <r>
          <rPr>
            <sz val="9"/>
            <color indexed="81"/>
            <rFont val="Tahoma"/>
            <family val="2"/>
          </rPr>
          <t xml:space="preserve">
Excludes LIUNA.
Amt per Trainee LOA
</t>
        </r>
      </text>
    </comment>
    <comment ref="B54" authorId="1" shapeId="0" xr:uid="{DC598D5C-D0F5-43C8-9013-0D98723AD6B0}">
      <text>
        <r>
          <rPr>
            <sz val="9"/>
            <color indexed="81"/>
            <rFont val="Tahoma"/>
            <family val="2"/>
          </rPr>
          <t>Now called Service Area Crew Leaders</t>
        </r>
        <r>
          <rPr>
            <sz val="9"/>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 xml:space="preserve">Miller, Brenda </author>
    <author>Miller, Brenda (she/her/hers)</author>
  </authors>
  <commentList>
    <comment ref="H46" authorId="0" shapeId="0" xr:uid="{28AF0F6B-BC43-451B-8DA6-67EFFD50411F}">
      <text>
        <r>
          <rPr>
            <sz val="9"/>
            <color indexed="81"/>
            <rFont val="Tahoma"/>
            <family val="2"/>
          </rPr>
          <t xml:space="preserve">Excludes LIUNA
Amt per Trainee LOA
</t>
        </r>
      </text>
    </comment>
    <comment ref="I46" authorId="0" shapeId="0" xr:uid="{A13AD61B-F37B-4488-98F1-307FE74901F6}">
      <text>
        <r>
          <rPr>
            <sz val="9"/>
            <color indexed="81"/>
            <rFont val="Tahoma"/>
            <family val="2"/>
          </rPr>
          <t xml:space="preserve">Excludes LIUNA
Amt per Trainee LOA
</t>
        </r>
      </text>
    </comment>
    <comment ref="S46" authorId="0" shapeId="0" xr:uid="{8268B0E7-0231-4E90-B29D-8C818CB4E8C6}">
      <text>
        <r>
          <rPr>
            <b/>
            <sz val="9"/>
            <color indexed="81"/>
            <rFont val="Tahoma"/>
            <family val="2"/>
          </rPr>
          <t>Miller, Brenda :</t>
        </r>
        <r>
          <rPr>
            <sz val="9"/>
            <color indexed="81"/>
            <rFont val="Tahoma"/>
            <family val="2"/>
          </rPr>
          <t xml:space="preserve">
Excludes LIUNA</t>
        </r>
      </text>
    </comment>
    <comment ref="B53" authorId="1" shapeId="0" xr:uid="{9D958837-726E-4B2F-B1D1-D4C400BD67C8}">
      <text>
        <r>
          <rPr>
            <sz val="9"/>
            <color indexed="81"/>
            <rFont val="Tahoma"/>
            <family val="2"/>
          </rPr>
          <t>Now called Service Area Crew Leaders</t>
        </r>
        <r>
          <rPr>
            <sz val="9"/>
            <color indexed="81"/>
            <rFont val="Tahoma"/>
            <family val="2"/>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 xml:space="preserve">Miller, Brenda </author>
    <author>Miller, Brenda (she/her/hers)</author>
  </authors>
  <commentList>
    <comment ref="H46" authorId="0" shapeId="0" xr:uid="{4155B579-956A-406E-9D23-440BB4A21B41}">
      <text>
        <r>
          <rPr>
            <sz val="9"/>
            <color indexed="81"/>
            <rFont val="Tahoma"/>
            <family val="2"/>
          </rPr>
          <t xml:space="preserve">Excludes LIUNA
Amt per Trainee LOA
</t>
        </r>
      </text>
    </comment>
    <comment ref="I46" authorId="0" shapeId="0" xr:uid="{15B38260-871B-442C-BEA2-A3B1C242B610}">
      <text>
        <r>
          <rPr>
            <sz val="9"/>
            <color indexed="81"/>
            <rFont val="Tahoma"/>
            <family val="2"/>
          </rPr>
          <t xml:space="preserve">Excludes LIUNA
Amt per Trainee LOA
</t>
        </r>
      </text>
    </comment>
    <comment ref="R46" authorId="0" shapeId="0" xr:uid="{223AC696-8DF8-452E-A03F-029E6454DAA0}">
      <text>
        <r>
          <rPr>
            <b/>
            <sz val="9"/>
            <color indexed="81"/>
            <rFont val="Tahoma"/>
            <family val="2"/>
          </rPr>
          <t>Miller, Brenda :</t>
        </r>
        <r>
          <rPr>
            <sz val="9"/>
            <color indexed="81"/>
            <rFont val="Tahoma"/>
            <family val="2"/>
          </rPr>
          <t xml:space="preserve">
Excludes LIUNA</t>
        </r>
      </text>
    </comment>
    <comment ref="S46" authorId="0" shapeId="0" xr:uid="{682C15CC-8921-4548-B48F-435003CF9AF5}">
      <text>
        <r>
          <rPr>
            <b/>
            <sz val="9"/>
            <color indexed="81"/>
            <rFont val="Tahoma"/>
            <family val="2"/>
          </rPr>
          <t>Miller, Brenda :</t>
        </r>
        <r>
          <rPr>
            <sz val="9"/>
            <color indexed="81"/>
            <rFont val="Tahoma"/>
            <family val="2"/>
          </rPr>
          <t xml:space="preserve">
Excludes LIUNA</t>
        </r>
      </text>
    </comment>
    <comment ref="B53" authorId="1" shapeId="0" xr:uid="{F51ABB7C-A5BF-4C6C-932F-90DFC1750F13}">
      <text>
        <r>
          <rPr>
            <sz val="9"/>
            <color indexed="81"/>
            <rFont val="Tahoma"/>
            <family val="2"/>
          </rPr>
          <t>Now called Service Area Crew Leaders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Nelms, Pam K.</author>
  </authors>
  <commentList>
    <comment ref="H43" authorId="0" shapeId="0" xr:uid="{00000000-0006-0000-0200-000002000000}">
      <text>
        <r>
          <rPr>
            <b/>
            <sz val="9"/>
            <color indexed="81"/>
            <rFont val="Tahoma"/>
            <family val="2"/>
          </rPr>
          <t>Nelms, Pam K.:</t>
        </r>
        <r>
          <rPr>
            <sz val="9"/>
            <color indexed="81"/>
            <rFont val="Tahoma"/>
            <family val="2"/>
          </rPr>
          <t xml:space="preserve">
Note that the Senior Water Treatment Operator is Accreted to the Union Effective May 13, 2018.  The wage rates and all other terms and conditions of Local 363 commence on this date. The wages shown in this schedule are the 2018 Wage Rates for this job title, and the job title base wages shall not increase in 2018 with any Across the Board increase that may be awarded to the Union resulting from the current Collective Bargaining activities. </t>
        </r>
      </text>
    </comment>
    <comment ref="C69" authorId="0" shapeId="0" xr:uid="{00000000-0006-0000-0200-000003000000}">
      <text>
        <r>
          <rPr>
            <b/>
            <sz val="9"/>
            <color indexed="81"/>
            <rFont val="Tahoma"/>
            <family val="2"/>
          </rPr>
          <t>Nelms, Pam K.:</t>
        </r>
        <r>
          <rPr>
            <sz val="9"/>
            <color indexed="81"/>
            <rFont val="Tahoma"/>
            <family val="2"/>
          </rPr>
          <t xml:space="preserve">
New in 2018; no ATB increase.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Miller, Brenda </author>
  </authors>
  <commentList>
    <comment ref="S42" authorId="0" shapeId="0" xr:uid="{DE83C167-11D1-410F-BF71-0FCC06120B55}">
      <text>
        <r>
          <rPr>
            <b/>
            <sz val="9"/>
            <color indexed="81"/>
            <rFont val="Tahoma"/>
            <family val="2"/>
          </rPr>
          <t>Miller, Brenda :</t>
        </r>
        <r>
          <rPr>
            <sz val="9"/>
            <color indexed="81"/>
            <rFont val="Tahoma"/>
            <family val="2"/>
          </rPr>
          <t xml:space="preserve">
Excludes LIUNA</t>
        </r>
      </text>
    </comment>
    <comment ref="T42" authorId="0" shapeId="0" xr:uid="{5B9B729C-DA50-49F8-986A-E0DBC7AB960F}">
      <text>
        <r>
          <rPr>
            <b/>
            <sz val="9"/>
            <color indexed="81"/>
            <rFont val="Tahoma"/>
            <family val="2"/>
          </rPr>
          <t>Miller, Brenda :</t>
        </r>
        <r>
          <rPr>
            <sz val="9"/>
            <color indexed="81"/>
            <rFont val="Tahoma"/>
            <family val="2"/>
          </rPr>
          <t xml:space="preserve">
Excludes LIUNA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Miller, Brenda </author>
  </authors>
  <commentList>
    <comment ref="S42" authorId="0" shapeId="0" xr:uid="{B5064E25-0AA3-4745-91B8-7D5443F742B9}">
      <text>
        <r>
          <rPr>
            <b/>
            <sz val="9"/>
            <color indexed="81"/>
            <rFont val="Tahoma"/>
            <family val="2"/>
          </rPr>
          <t>Miller, Brenda :</t>
        </r>
        <r>
          <rPr>
            <sz val="9"/>
            <color indexed="81"/>
            <rFont val="Tahoma"/>
            <family val="2"/>
          </rPr>
          <t xml:space="preserve">
Excludes LIUNA</t>
        </r>
      </text>
    </comment>
    <comment ref="T42" authorId="0" shapeId="0" xr:uid="{023983A1-8075-4C20-AD3D-05DC3C0CD7CF}">
      <text>
        <r>
          <rPr>
            <b/>
            <sz val="9"/>
            <color indexed="81"/>
            <rFont val="Tahoma"/>
            <family val="2"/>
          </rPr>
          <t>Miller, Brenda :</t>
        </r>
        <r>
          <rPr>
            <sz val="9"/>
            <color indexed="81"/>
            <rFont val="Tahoma"/>
            <family val="2"/>
          </rPr>
          <t xml:space="preserve">
Excludes LIUNA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Miller, Brenda </author>
  </authors>
  <commentList>
    <comment ref="S42" authorId="0" shapeId="0" xr:uid="{1C519F57-D8FE-4474-9FF5-4772A62430F8}">
      <text>
        <r>
          <rPr>
            <b/>
            <sz val="9"/>
            <color indexed="81"/>
            <rFont val="Tahoma"/>
            <family val="2"/>
          </rPr>
          <t>Miller, Brenda :</t>
        </r>
        <r>
          <rPr>
            <sz val="9"/>
            <color indexed="81"/>
            <rFont val="Tahoma"/>
            <family val="2"/>
          </rPr>
          <t xml:space="preserve">
Excludes LIUNA</t>
        </r>
      </text>
    </comment>
    <comment ref="T42" authorId="0" shapeId="0" xr:uid="{914DCC58-5A8F-4C40-BBF8-8C5C72F43FF7}">
      <text>
        <r>
          <rPr>
            <b/>
            <sz val="9"/>
            <color indexed="81"/>
            <rFont val="Tahoma"/>
            <family val="2"/>
          </rPr>
          <t>Miller, Brenda :</t>
        </r>
        <r>
          <rPr>
            <sz val="9"/>
            <color indexed="81"/>
            <rFont val="Tahoma"/>
            <family val="2"/>
          </rPr>
          <t xml:space="preserve">
Excludes LIUNA</t>
        </r>
      </text>
    </comment>
    <comment ref="S49" authorId="0" shapeId="0" xr:uid="{18BAB8B7-4006-45D0-9BF3-298BAFA1A91B}">
      <text>
        <r>
          <rPr>
            <sz val="9"/>
            <color indexed="81"/>
            <rFont val="Tahoma"/>
            <family val="2"/>
          </rPr>
          <t>See Union Rep Rate tab</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xml:space="preserve">Miller, Brenda </author>
  </authors>
  <commentList>
    <comment ref="S42" authorId="0" shapeId="0" xr:uid="{BD835CC2-A6B8-4A92-AC34-4935035E943A}">
      <text>
        <r>
          <rPr>
            <b/>
            <sz val="9"/>
            <color indexed="81"/>
            <rFont val="Tahoma"/>
            <family val="2"/>
          </rPr>
          <t>Miller, Brenda :</t>
        </r>
        <r>
          <rPr>
            <sz val="9"/>
            <color indexed="81"/>
            <rFont val="Tahoma"/>
            <family val="2"/>
          </rPr>
          <t xml:space="preserve">
Excludes LIUNA</t>
        </r>
      </text>
    </comment>
    <comment ref="T42" authorId="0" shapeId="0" xr:uid="{144BBB10-A802-4E42-894B-CF000ADDF653}">
      <text>
        <r>
          <rPr>
            <b/>
            <sz val="9"/>
            <color indexed="81"/>
            <rFont val="Tahoma"/>
            <family val="2"/>
          </rPr>
          <t>Miller, Brenda :</t>
        </r>
        <r>
          <rPr>
            <sz val="9"/>
            <color indexed="81"/>
            <rFont val="Tahoma"/>
            <family val="2"/>
          </rPr>
          <t xml:space="preserve">
Excludes LIUNA</t>
        </r>
      </text>
    </comment>
    <comment ref="S49" authorId="0" shapeId="0" xr:uid="{CF562496-F11A-4277-89FE-B1339A00A0A0}">
      <text>
        <r>
          <rPr>
            <sz val="9"/>
            <color indexed="81"/>
            <rFont val="Tahoma"/>
            <family val="2"/>
          </rPr>
          <t>See Union Rep Rate tab</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xml:space="preserve">Miller, Brenda </author>
  </authors>
  <commentList>
    <comment ref="S44" authorId="0" shapeId="0" xr:uid="{1A7EE3F1-A637-4970-A0F8-87D8F6EE5F11}">
      <text>
        <r>
          <rPr>
            <b/>
            <sz val="9"/>
            <color indexed="81"/>
            <rFont val="Tahoma"/>
            <family val="2"/>
          </rPr>
          <t>Miller, Brenda :</t>
        </r>
        <r>
          <rPr>
            <sz val="9"/>
            <color indexed="81"/>
            <rFont val="Tahoma"/>
            <family val="2"/>
          </rPr>
          <t xml:space="preserve">
Excludes LIUNA</t>
        </r>
      </text>
    </comment>
    <comment ref="T44" authorId="0" shapeId="0" xr:uid="{D7E3440D-3975-425C-A7F0-B7786E88AFB9}">
      <text>
        <r>
          <rPr>
            <b/>
            <sz val="9"/>
            <color indexed="81"/>
            <rFont val="Tahoma"/>
            <family val="2"/>
          </rPr>
          <t>Miller, Brenda :</t>
        </r>
        <r>
          <rPr>
            <sz val="9"/>
            <color indexed="81"/>
            <rFont val="Tahoma"/>
            <family val="2"/>
          </rPr>
          <t xml:space="preserve">
Excludes LIUNA</t>
        </r>
      </text>
    </comment>
    <comment ref="S51" authorId="0" shapeId="0" xr:uid="{7DF2BA30-894C-48E7-8259-F47D738D8839}">
      <text>
        <r>
          <rPr>
            <sz val="9"/>
            <color indexed="81"/>
            <rFont val="Tahoma"/>
            <family val="2"/>
          </rPr>
          <t xml:space="preserve">Based on Park Board's Park Keeper Crew Leader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xml:space="preserve">Miller, Brenda </author>
  </authors>
  <commentList>
    <comment ref="D2" authorId="0" shapeId="0" xr:uid="{382B457E-6D01-4986-9277-45B554BEE7BD}">
      <text>
        <r>
          <rPr>
            <sz val="9"/>
            <color indexed="81"/>
            <rFont val="Tahoma"/>
            <family val="2"/>
          </rPr>
          <t xml:space="preserve">Does not apply to jobs in orange on the 1 1 2024 tab
</t>
        </r>
      </text>
    </comment>
    <comment ref="E2" authorId="0" shapeId="0" xr:uid="{F44A5170-4113-4DEA-9A5C-C8E150F192BD}">
      <text>
        <r>
          <rPr>
            <sz val="9"/>
            <color indexed="81"/>
            <rFont val="Tahoma"/>
            <family val="2"/>
          </rPr>
          <t xml:space="preserve">Applied to jobs in orange on the 1 1 2024 tab
</t>
        </r>
      </text>
    </comment>
    <comment ref="D15" authorId="0" shapeId="0" xr:uid="{FDAB5A01-519E-4C74-B457-17A0E1ACB5AC}">
      <text>
        <r>
          <rPr>
            <sz val="9"/>
            <color indexed="81"/>
            <rFont val="Tahoma"/>
            <family val="2"/>
          </rPr>
          <t xml:space="preserve">Does not apply to jobs in orange on the 1 1 2024 tab
</t>
        </r>
      </text>
    </comment>
    <comment ref="E15" authorId="0" shapeId="0" xr:uid="{4F1677D0-4D57-496B-A137-700D7F7A6483}">
      <text>
        <r>
          <rPr>
            <sz val="9"/>
            <color indexed="81"/>
            <rFont val="Tahoma"/>
            <family val="2"/>
          </rPr>
          <t xml:space="preserve">Applied to jobs in orange on the 1 1 2024 tab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tc={9FEF66CB-191F-46EA-9B40-7537E8C4E9E6}</author>
    <author>tc={A7ACA532-AAF5-4883-ABE0-A90135309A80}</author>
    <author>tc={F01346E1-B59C-45CB-B277-CC6CA8AA152D}</author>
    <author xml:space="preserve">Miller, Brenda </author>
  </authors>
  <commentList>
    <comment ref="R18" authorId="0" shapeId="0" xr:uid="{9FEF66CB-191F-46EA-9B40-7537E8C4E9E6}">
      <text>
        <t>[Threaded comment]
Your version of Excel allows you to read this threaded comment; however, any edits to it will get removed if the file is opened in a newer version of Excel. Learn more: https://go.microsoft.com/fwlink/?linkid=870924
Comment:
    Get rid of step 1</t>
      </text>
    </comment>
    <comment ref="R19" authorId="1" shapeId="0" xr:uid="{A7ACA532-AAF5-4883-ABE0-A90135309A80}">
      <text>
        <t>[Threaded comment]
Your version of Excel allows you to read this threaded comment; however, any edits to it will get removed if the file is opened in a newer version of Excel. Learn more: https://go.microsoft.com/fwlink/?linkid=870924
Comment:
    Get rid of Step 1</t>
      </text>
    </comment>
    <comment ref="R20" authorId="2" shapeId="0" xr:uid="{F01346E1-B59C-45CB-B277-CC6CA8AA152D}">
      <text>
        <t>[Threaded comment]
Your version of Excel allows you to read this threaded comment; however, any edits to it will get removed if the file is opened in a newer version of Excel. Learn more: https://go.microsoft.com/fwlink/?linkid=870924
Comment:
    get rid of step 1</t>
      </text>
    </comment>
    <comment ref="S44" authorId="3" shapeId="0" xr:uid="{2D2A2984-2B44-4689-9C5D-89001BFF6ED0}">
      <text>
        <r>
          <rPr>
            <b/>
            <sz val="9"/>
            <color indexed="81"/>
            <rFont val="Tahoma"/>
            <family val="2"/>
          </rPr>
          <t>Miller, Brenda :</t>
        </r>
        <r>
          <rPr>
            <sz val="9"/>
            <color indexed="81"/>
            <rFont val="Tahoma"/>
            <family val="2"/>
          </rPr>
          <t xml:space="preserve">
Excludes LIUNA</t>
        </r>
      </text>
    </comment>
    <comment ref="T44" authorId="3" shapeId="0" xr:uid="{4FCB0D01-55B0-4332-A4CA-563968F3AC14}">
      <text>
        <r>
          <rPr>
            <b/>
            <sz val="9"/>
            <color indexed="81"/>
            <rFont val="Tahoma"/>
            <family val="2"/>
          </rPr>
          <t>Miller, Brenda :</t>
        </r>
        <r>
          <rPr>
            <sz val="9"/>
            <color indexed="81"/>
            <rFont val="Tahoma"/>
            <family val="2"/>
          </rPr>
          <t xml:space="preserve">
Excludes LIUNA</t>
        </r>
      </text>
    </comment>
    <comment ref="S51" authorId="3" shapeId="0" xr:uid="{F8279FF9-FDF9-4FE2-AFF2-ABED718B05FC}">
      <text>
        <r>
          <rPr>
            <sz val="9"/>
            <color indexed="81"/>
            <rFont val="Tahoma"/>
            <family val="2"/>
          </rPr>
          <t xml:space="preserve">Based on Park Board's Park Keeper Crew Leader
</t>
        </r>
      </text>
    </comment>
  </commentList>
</comments>
</file>

<file path=xl/sharedStrings.xml><?xml version="1.0" encoding="utf-8"?>
<sst xmlns="http://schemas.openxmlformats.org/spreadsheetml/2006/main" count="8013" uniqueCount="675">
  <si>
    <t>LABORERS:  CITY EMPLOYEES LOCAL #363 (CLB)</t>
  </si>
  <si>
    <t xml:space="preserve">DATA AS IF Effective on January 1, 2017:  Market Rate ADJUSTMENTS AND ROLL INS OF APPRENTICE PREMIUNS AS PER TA </t>
  </si>
  <si>
    <t>Total Points</t>
  </si>
  <si>
    <t>Class Grade</t>
  </si>
  <si>
    <t>FLSA OTC</t>
  </si>
  <si>
    <t>OLD Sal Grade</t>
  </si>
  <si>
    <t>Salary Grade</t>
  </si>
  <si>
    <t>Job Code</t>
  </si>
  <si>
    <t>CLASSIFICATION Title</t>
  </si>
  <si>
    <t>STEP 1</t>
  </si>
  <si>
    <t>STEP 2</t>
  </si>
  <si>
    <t>STEP 3</t>
  </si>
  <si>
    <t>STEP 4</t>
  </si>
  <si>
    <t>STEP 5</t>
  </si>
  <si>
    <t>STEP 6</t>
  </si>
  <si>
    <t>STEP 7</t>
  </si>
  <si>
    <t>$28.50 All  Maintenance Crew Leaders</t>
  </si>
  <si>
    <t>N-2</t>
  </si>
  <si>
    <t>H</t>
  </si>
  <si>
    <t>26</t>
  </si>
  <si>
    <t>15A</t>
  </si>
  <si>
    <t>00505C</t>
  </si>
  <si>
    <t>Asphalt Raker Apprentice I (1st 522 hours)</t>
  </si>
  <si>
    <t>$28.50 Lead Pipelayer III</t>
  </si>
  <si>
    <t>15B</t>
  </si>
  <si>
    <t>00507C</t>
  </si>
  <si>
    <t>Asphalt Raker Apprentice II (2nd 522 hours)</t>
  </si>
  <si>
    <t>$31.35 Cement Finisher</t>
  </si>
  <si>
    <t xml:space="preserve">       **In addition to the wage rates shown below, the City will contribute $0.97per hour to the LIUNA Pension Fund for eligible employees.</t>
  </si>
  <si>
    <t>$26.582 max rate for Parking Meter Service Worker, Stock Worker and Shop Repair Worker</t>
  </si>
  <si>
    <t>18A</t>
  </si>
  <si>
    <t>01585C</t>
  </si>
  <si>
    <t>Cement Finisher Apprentice I (1st 174 hours)</t>
  </si>
  <si>
    <t>$28.00 for Asphalt Raker</t>
  </si>
  <si>
    <t>18B</t>
  </si>
  <si>
    <t>01586C</t>
  </si>
  <si>
    <t>Cement Finisher Apprentice II (Next 696 hours)</t>
  </si>
  <si>
    <t>$26.582 top step for Shop Repair Worker, Stock Worker, and Yard Coordinator I</t>
  </si>
  <si>
    <t>18C</t>
  </si>
  <si>
    <t>01587C</t>
  </si>
  <si>
    <t>Cement Finisher Apprentice III (Next 696 hours)</t>
  </si>
  <si>
    <t>18D</t>
  </si>
  <si>
    <t>01588C</t>
  </si>
  <si>
    <t>Cement Finisher Apprentice IV (Next 696 hours)</t>
  </si>
  <si>
    <t>No change to actual wage rates for Senior Water Treatment Operator in 2018 (LIUNA contrib of $1.58 is associated with the rates already)</t>
  </si>
  <si>
    <t>00500C</t>
  </si>
  <si>
    <t>Asphalt Raker</t>
  </si>
  <si>
    <t>02</t>
  </si>
  <si>
    <t>01060C</t>
  </si>
  <si>
    <t>Attendant Impound Lot</t>
  </si>
  <si>
    <t>01570C</t>
  </si>
  <si>
    <t>Cement Finisher Journeyman</t>
  </si>
  <si>
    <t>03</t>
  </si>
  <si>
    <t>02616C</t>
  </si>
  <si>
    <t>Constr Maint Labor WU Shop-C</t>
  </si>
  <si>
    <t>`</t>
  </si>
  <si>
    <t>02610C</t>
  </si>
  <si>
    <t>Construction Maint Laborer</t>
  </si>
  <si>
    <t>05850C</t>
  </si>
  <si>
    <t>Custodian Property Services</t>
  </si>
  <si>
    <t>02960C</t>
  </si>
  <si>
    <t>Delivery Worker</t>
  </si>
  <si>
    <t>05</t>
  </si>
  <si>
    <t>04170C</t>
  </si>
  <si>
    <t>Equipment Service Worker</t>
  </si>
  <si>
    <t>06B</t>
  </si>
  <si>
    <t>05958C</t>
  </si>
  <si>
    <t>Lead Custodian Property Services</t>
  </si>
  <si>
    <t>06030C</t>
  </si>
  <si>
    <t>Lead Pipe layer I (Paving Const.)</t>
  </si>
  <si>
    <t>11A</t>
  </si>
  <si>
    <t>06035C</t>
  </si>
  <si>
    <t>Lead Pipe layer I (Paving Const.) Apprentice I (1st 522 hours)</t>
  </si>
  <si>
    <t>11B</t>
  </si>
  <si>
    <t>06037C</t>
  </si>
  <si>
    <t>Lead Pipe layer I (Paving Const.) Apprentice II (2nd 522 hours)</t>
  </si>
  <si>
    <t>14</t>
  </si>
  <si>
    <t>06050C</t>
  </si>
  <si>
    <t>Lead Pipe layer II (Water Const.)</t>
  </si>
  <si>
    <t>11C</t>
  </si>
  <si>
    <t>06056C</t>
  </si>
  <si>
    <t>Lead Pipe layer II (Water Const.) Apprentice I (1st 522 hours)</t>
  </si>
  <si>
    <t>14A</t>
  </si>
  <si>
    <t>06057C</t>
  </si>
  <si>
    <t>Lead Pipe layer II (Water Const.) Apprentice II (2nd 522 hours)</t>
  </si>
  <si>
    <t>14B</t>
  </si>
  <si>
    <t>06058C</t>
  </si>
  <si>
    <t>Lead Pipe layer II (Water Const.) Apprentice III (3rd 522 hours)</t>
  </si>
  <si>
    <t>20</t>
  </si>
  <si>
    <t>19</t>
  </si>
  <si>
    <t>06066C</t>
  </si>
  <si>
    <t>Lead Pipe layer III (Sewer Const.)</t>
  </si>
  <si>
    <t>19A</t>
  </si>
  <si>
    <t>06067C</t>
  </si>
  <si>
    <t>Lead Pipe layer III (Sewer Const.) Apprentice I (1st 522 hours)</t>
  </si>
  <si>
    <t>19B</t>
  </si>
  <si>
    <t>06068C</t>
  </si>
  <si>
    <t>Lead Pipe layer III (Sewer Const.) Apprentice II (2nd 522 hours)</t>
  </si>
  <si>
    <t>19C</t>
  </si>
  <si>
    <t>06069C</t>
  </si>
  <si>
    <t>Lead Pipe layer III (Sewer Const.) Apprentice III (3rd 522 hours)</t>
  </si>
  <si>
    <t>06462C</t>
  </si>
  <si>
    <t>Maintenance Crew Ldr - Bridge</t>
  </si>
  <si>
    <t>06464C</t>
  </si>
  <si>
    <t>Maintenance Crew Ldr - Sewer</t>
  </si>
  <si>
    <t>06465C</t>
  </si>
  <si>
    <t>Maintenance Crew Ldr - Sol Waste</t>
  </si>
  <si>
    <t>06466C</t>
  </si>
  <si>
    <t>Maintenance Crew Ldr - Streets</t>
  </si>
  <si>
    <t>06468C</t>
  </si>
  <si>
    <t>Maintenance Crew Ldr - Traffic</t>
  </si>
  <si>
    <t>12</t>
  </si>
  <si>
    <t>07440C</t>
  </si>
  <si>
    <t>Parking Meter Service Worker</t>
  </si>
  <si>
    <t>07</t>
  </si>
  <si>
    <t>07940C</t>
  </si>
  <si>
    <t>Plant Service Worker</t>
  </si>
  <si>
    <t>24</t>
  </si>
  <si>
    <t>28</t>
  </si>
  <si>
    <t>02621C</t>
  </si>
  <si>
    <t>Pubic Works Equipment Dispatcher</t>
  </si>
  <si>
    <t>08568C</t>
  </si>
  <si>
    <t xml:space="preserve">Public Works Service Worker I </t>
  </si>
  <si>
    <t>no change</t>
  </si>
  <si>
    <t>27</t>
  </si>
  <si>
    <t>New?</t>
  </si>
  <si>
    <t>08564C</t>
  </si>
  <si>
    <t xml:space="preserve">Public Works Service Worker I - Trainee </t>
  </si>
  <si>
    <t>6 months = $15.693</t>
  </si>
  <si>
    <t>After 6 months AND holds a CDL = $16.812</t>
  </si>
  <si>
    <t>30</t>
  </si>
  <si>
    <t>09194C</t>
  </si>
  <si>
    <t>Senior Water Treatment Operator** (see below for Step)</t>
  </si>
  <si>
    <t>13</t>
  </si>
  <si>
    <t>09184C</t>
  </si>
  <si>
    <t>Sewer Pumping Station Operator</t>
  </si>
  <si>
    <t>09220C</t>
  </si>
  <si>
    <t>Shop Repair Worker I</t>
  </si>
  <si>
    <t>09230C</t>
  </si>
  <si>
    <t>Shop Repair Worker II</t>
  </si>
  <si>
    <t>09400C</t>
  </si>
  <si>
    <t>Stock Worker</t>
  </si>
  <si>
    <t>09284C</t>
  </si>
  <si>
    <t xml:space="preserve">Stores Center Coordinator   </t>
  </si>
  <si>
    <t>10908C</t>
  </si>
  <si>
    <t>Water Treatment Operator* (see below for Step)</t>
  </si>
  <si>
    <t>11030C</t>
  </si>
  <si>
    <t>Yard Coordinator I</t>
  </si>
  <si>
    <t>11040C</t>
  </si>
  <si>
    <t>Yard Coordinator II</t>
  </si>
  <si>
    <t xml:space="preserve">NOTE that in addition to the above hourly wages, a LIUNA pension fund contribution of $1.43 per hour is contributed on behalf of eligible employees. </t>
  </si>
  <si>
    <r>
      <t xml:space="preserve">Note that the </t>
    </r>
    <r>
      <rPr>
        <u/>
        <sz val="11"/>
        <rFont val="Calibri"/>
        <family val="2"/>
        <scheme val="minor"/>
      </rPr>
      <t>Senior Water Treatment Operator</t>
    </r>
    <r>
      <rPr>
        <sz val="11"/>
        <rFont val="Calibri"/>
        <family val="2"/>
        <scheme val="minor"/>
      </rPr>
      <t xml:space="preserve"> is Accreted to the Union Effective May 13, 2018.  The wage rates and all other terms and conditions of Local 363 commence on this date. The wages shown in this schedule are the 2018 Wage Rates for this job title, and the job title base wages shall not increase in 2018 with any Across the Board increase that may be awarded to the Union resulting from the current Collective Bargaining activities. </t>
    </r>
  </si>
  <si>
    <r>
      <t>Provided that</t>
    </r>
    <r>
      <rPr>
        <sz val="11"/>
        <rFont val="Calibri"/>
        <family val="2"/>
        <scheme val="minor"/>
      </rPr>
      <t xml:space="preserve"> employees in the </t>
    </r>
    <r>
      <rPr>
        <b/>
        <u/>
        <sz val="11"/>
        <rFont val="Calibri"/>
        <family val="2"/>
        <scheme val="minor"/>
      </rPr>
      <t>Senior Water Treatment Operator</t>
    </r>
    <r>
      <rPr>
        <sz val="11"/>
        <rFont val="Calibri"/>
        <family val="2"/>
        <scheme val="minor"/>
      </rPr>
      <t xml:space="preserve"> classification are eligible for wage steps based solely upon their </t>
    </r>
  </si>
  <si>
    <t>solely upon the level of certification held/achieved by the employee.</t>
  </si>
  <si>
    <t>Step 1</t>
  </si>
  <si>
    <t xml:space="preserve">     MN Water Supply System Operator Certificate,  Class C</t>
  </si>
  <si>
    <t>Step 2</t>
  </si>
  <si>
    <t xml:space="preserve">     MN Water Supply System Operator Certificate,  Class B</t>
  </si>
  <si>
    <t>Step 3</t>
  </si>
  <si>
    <t xml:space="preserve">     MN Water Supply System Operator Certificate,  Class A</t>
  </si>
  <si>
    <r>
      <t>Provided that</t>
    </r>
    <r>
      <rPr>
        <sz val="11"/>
        <rFont val="Calibri"/>
        <family val="2"/>
        <scheme val="minor"/>
      </rPr>
      <t xml:space="preserve"> employees in the </t>
    </r>
    <r>
      <rPr>
        <b/>
        <u/>
        <sz val="11"/>
        <rFont val="Calibri"/>
        <family val="2"/>
        <scheme val="minor"/>
      </rPr>
      <t>Water Treatment Operator</t>
    </r>
    <r>
      <rPr>
        <sz val="11"/>
        <rFont val="Calibri"/>
        <family val="2"/>
        <scheme val="minor"/>
      </rPr>
      <t xml:space="preserve"> classification are eligible for wage steps based solely upon their holding </t>
    </r>
  </si>
  <si>
    <t>valid Water Operator Certification as follows:</t>
  </si>
  <si>
    <t>valid certificates as follows:</t>
  </si>
  <si>
    <t xml:space="preserve">Step 1: </t>
  </si>
  <si>
    <t>Class "D" Water Operator</t>
  </si>
  <si>
    <t xml:space="preserve">Step 2:  </t>
  </si>
  <si>
    <t>Class "C" Water Operator</t>
  </si>
  <si>
    <t xml:space="preserve">Step 3:  </t>
  </si>
  <si>
    <t>Class "B" Water Operator</t>
  </si>
  <si>
    <t xml:space="preserve">Step 4:  </t>
  </si>
  <si>
    <t>Step 4</t>
  </si>
  <si>
    <t>Class "A" Water Operator</t>
  </si>
  <si>
    <r>
      <rPr>
        <b/>
        <sz val="11"/>
        <rFont val="Calibri"/>
        <family val="2"/>
        <scheme val="minor"/>
      </rPr>
      <t>Provided that</t>
    </r>
    <r>
      <rPr>
        <sz val="11"/>
        <rFont val="Calibri"/>
        <family val="2"/>
        <scheme val="minor"/>
      </rPr>
      <t xml:space="preserve"> </t>
    </r>
    <r>
      <rPr>
        <b/>
        <u/>
        <sz val="11"/>
        <rFont val="Calibri"/>
        <family val="2"/>
        <scheme val="minor"/>
      </rPr>
      <t xml:space="preserve">Plant Service Workers </t>
    </r>
    <r>
      <rPr>
        <sz val="11"/>
        <rFont val="Calibri"/>
        <family val="2"/>
        <scheme val="minor"/>
      </rPr>
      <t xml:space="preserve">who hold a Class "D" Water Supply Certificate shall receive an additional Twenty five </t>
    </r>
  </si>
  <si>
    <t xml:space="preserve">cents per hour for all hours paid. </t>
  </si>
  <si>
    <t xml:space="preserve">cents [$0.25] per hour for all hours paid. </t>
  </si>
  <si>
    <r>
      <t>Provided that</t>
    </r>
    <r>
      <rPr>
        <sz val="11"/>
        <rFont val="Calibri"/>
        <family val="2"/>
        <scheme val="minor"/>
      </rPr>
      <t xml:space="preserve"> </t>
    </r>
    <r>
      <rPr>
        <b/>
        <u/>
        <sz val="11"/>
        <rFont val="Calibri"/>
        <family val="2"/>
        <scheme val="minor"/>
      </rPr>
      <t>Cured in Place Pipe Relining PWSW1's</t>
    </r>
    <r>
      <rPr>
        <sz val="11"/>
        <rFont val="Calibri"/>
        <family val="2"/>
        <scheme val="minor"/>
      </rPr>
      <t xml:space="preserve"> will be compensated by being detailed to the Maintenance </t>
    </r>
  </si>
  <si>
    <t>Crew leader/Sewer rate or their current rate, whichever is higher, while performing CIPP related work.</t>
  </si>
  <si>
    <r>
      <t>Provided that</t>
    </r>
    <r>
      <rPr>
        <sz val="11"/>
        <rFont val="Calibri"/>
        <family val="2"/>
        <scheme val="minor"/>
      </rPr>
      <t xml:space="preserve"> at the discretion of the Director of Property Services, </t>
    </r>
    <r>
      <rPr>
        <b/>
        <u/>
        <sz val="11"/>
        <rFont val="Calibri"/>
        <family val="2"/>
        <scheme val="minor"/>
      </rPr>
      <t>Janitorial Workers</t>
    </r>
    <r>
      <rPr>
        <sz val="11"/>
        <rFont val="Calibri"/>
        <family val="2"/>
        <scheme val="minor"/>
      </rPr>
      <t xml:space="preserve"> may be assigned to higher-level janitorial </t>
    </r>
  </si>
  <si>
    <t>duties, and shall receive a premium of one dollar eighty two point one cents [$1.821] per hour on a "as worked" basis when so assigned.</t>
  </si>
  <si>
    <t>per hour on an as-worked basis.</t>
  </si>
  <si>
    <r>
      <t>Provided  that</t>
    </r>
    <r>
      <rPr>
        <sz val="11"/>
        <rFont val="Calibri"/>
        <family val="2"/>
        <scheme val="minor"/>
      </rPr>
      <t xml:space="preserve"> Public Works Service Worker 1's who are reinstated during the first two (2) years after termination shall be paid </t>
    </r>
  </si>
  <si>
    <t>according to the following schedule:</t>
  </si>
  <si>
    <t>Step Placement</t>
  </si>
  <si>
    <t xml:space="preserve">Years of Service Prior To Termination   </t>
  </si>
  <si>
    <t>1-4 Years</t>
  </si>
  <si>
    <t>5-9 Years</t>
  </si>
  <si>
    <t xml:space="preserve">10 years and above </t>
  </si>
  <si>
    <r>
      <t>Provided that</t>
    </r>
    <r>
      <rPr>
        <sz val="11"/>
        <rFont val="Calibri"/>
        <family val="2"/>
        <scheme val="minor"/>
      </rPr>
      <t xml:space="preserve"> the following hourly premiums shall be paid to employees on a "when performed" basis.</t>
    </r>
  </si>
  <si>
    <t>Description</t>
  </si>
  <si>
    <t>Regular premium</t>
  </si>
  <si>
    <t xml:space="preserve">See Application Eligibility** </t>
  </si>
  <si>
    <t>(1) Tunnel and Shaft</t>
  </si>
  <si>
    <t>(2) Ariel Bucket</t>
  </si>
  <si>
    <t>(3) OSHA Respirator</t>
  </si>
  <si>
    <t>N/A</t>
  </si>
  <si>
    <t>(4) Miner</t>
  </si>
  <si>
    <t xml:space="preserve">(5) Special License or Endorsement: paid for all hours employee is responsible for the eligible equipment </t>
  </si>
  <si>
    <t>(6) Lead Worker/Ramps (6)</t>
  </si>
  <si>
    <t>**Application Eligibility:</t>
  </si>
  <si>
    <t>1-Paid to all employees when working in an underground tunnel, or underground shaft, and</t>
  </si>
  <si>
    <t xml:space="preserve">  for work performed at locations cited on a list mutually developed by representatives of the Union and Sewer Department Management.</t>
  </si>
  <si>
    <t xml:space="preserve">  This list will be posted in Sewer Department offices. Said list may be modified annually after a "meet and confer" between the Sewer </t>
  </si>
  <si>
    <t xml:space="preserve">  Department Management and the Union. </t>
  </si>
  <si>
    <t>2-Paid to all employees who are assigned to work from an aerial bucket. The</t>
  </si>
  <si>
    <t xml:space="preserve">  higher of the two premiums is paid only when the altitude of the work being performed</t>
  </si>
  <si>
    <t xml:space="preserve">  in the bucket is higher than fifty (50) feet.</t>
  </si>
  <si>
    <t xml:space="preserve">3-Paid to all employees who are assigned work in an environment determined to be contaminated by OSHA or MNPCA standards. </t>
  </si>
  <si>
    <t xml:space="preserve">   The Premium is only paid when employees are  required to use respirators or self contained breathing apparatus or similar level of personal</t>
  </si>
  <si>
    <t xml:space="preserve">  protection  ("OSHA requires clean shaven for ensured safety") while working in said environment. NOTE to Foremen and Supervisors: Criteria for </t>
  </si>
  <si>
    <t xml:space="preserve">  eligibility will be the same as the criteria for earning the top Hazwoper premium in previous years (pre-PWSW1), and current OSHA standards.</t>
  </si>
  <si>
    <t>4-Paid to all employees who are assigned as the miner.</t>
  </si>
  <si>
    <t>5- Paid to employees when they are responsible for certain vehicles requiring a Class "A" Commercial Driver's License (CDL) or CDL Special</t>
  </si>
  <si>
    <t xml:space="preserve"> endorsement, as follows:</t>
  </si>
  <si>
    <t>Class "A" License premium-eligible equipments are: Tractor Trailer &amp; Lowboy.</t>
  </si>
  <si>
    <t>"Special Endorsment" premium-eligible equipments are:  Jet Vac, Flusher Truck, Trickle Truck, Oil Distributor Truck and Fuel Truck.</t>
  </si>
  <si>
    <t xml:space="preserve">Note: the City will not pay the "Special  Endorsement" premium for operating trucks with temporary tanks attached. </t>
  </si>
  <si>
    <t>6-Paid to employees assigned to Lead Worker in Ramps</t>
  </si>
  <si>
    <t>LONGEVITY</t>
  </si>
  <si>
    <r>
      <t>Provided that</t>
    </r>
    <r>
      <rPr>
        <sz val="11"/>
        <rFont val="Calibri"/>
        <family val="2"/>
        <scheme val="minor"/>
      </rPr>
      <t xml:space="preserve"> employees shall receive the following longevity:  </t>
    </r>
  </si>
  <si>
    <t>These payments shall be based on a maximum of 80 hours bi-weekly:</t>
  </si>
  <si>
    <t>per hour additional  at the beginning of the 10th year of service.</t>
  </si>
  <si>
    <t>per hour additional at the beginning of the 15th year of service.</t>
  </si>
  <si>
    <t>per hour additional at the beginning of the 20th year of service.</t>
  </si>
  <si>
    <t>per hour additional at the beginning of the 25th year of service.</t>
  </si>
  <si>
    <t>SHIFT DIFFERENTIALS</t>
  </si>
  <si>
    <r>
      <rPr>
        <b/>
        <sz val="11"/>
        <rFont val="Calibri"/>
        <family val="2"/>
        <scheme val="minor"/>
      </rPr>
      <t>Provided that</t>
    </r>
    <r>
      <rPr>
        <sz val="11"/>
        <rFont val="Calibri"/>
        <family val="2"/>
        <scheme val="minor"/>
      </rPr>
      <t xml:space="preserve"> the employer shall pay a Shift Differential equal to one dollar thirty five point one cents [1.351] per hour for all work shifts that</t>
    </r>
  </si>
  <si>
    <t xml:space="preserve">have a *regular starting time between 12:00 p.m. (noon) and 6:00 a.m., or for all work shifts that have a *regular schedule that includes a </t>
  </si>
  <si>
    <t xml:space="preserve">Saturday or Sunday. Shift Differential shall be applied to all hours worked on the schedule during any workweek, including overtime hours. </t>
  </si>
  <si>
    <t xml:space="preserve">*"Regular" is defined as continuously assigned for two or more consecutive weeks. </t>
  </si>
  <si>
    <t>Plant Service Workers and Water Treatment Operators are excluded from this shift differential provision. (see next)</t>
  </si>
  <si>
    <r>
      <rPr>
        <b/>
        <sz val="11"/>
        <rFont val="Calibri"/>
        <family val="2"/>
        <scheme val="minor"/>
      </rPr>
      <t xml:space="preserve">Provided that </t>
    </r>
    <r>
      <rPr>
        <b/>
        <u/>
        <sz val="11"/>
        <rFont val="Calibri"/>
        <family val="2"/>
        <scheme val="minor"/>
      </rPr>
      <t>Plant Service Workers</t>
    </r>
    <r>
      <rPr>
        <sz val="11"/>
        <rFont val="Calibri"/>
        <family val="2"/>
        <scheme val="minor"/>
      </rPr>
      <t xml:space="preserve">, Water Treatment Operators and Senior Water Treatment Operators who are scheduled to work a full shift </t>
    </r>
  </si>
  <si>
    <t xml:space="preserve">that begins between 11:00 a.m. and 6:00 a.m. shall be paid an additional one dollar twenty point two cents [$1.202] per hour for all hours worked </t>
  </si>
  <si>
    <t xml:space="preserve">on the shift, including any overtime worked. </t>
  </si>
  <si>
    <r>
      <rPr>
        <b/>
        <sz val="11"/>
        <rFont val="Calibri"/>
        <family val="2"/>
        <scheme val="minor"/>
      </rPr>
      <t>Provided that</t>
    </r>
    <r>
      <rPr>
        <sz val="11"/>
        <rFont val="Calibri"/>
        <family val="2"/>
        <scheme val="minor"/>
      </rPr>
      <t xml:space="preserve"> if the EMPLOYER has established a ten (10) hour day/four-days a week regular work schedule, employees working the schedule on</t>
    </r>
  </si>
  <si>
    <t>a regular basis shall be eligible for overtime at the rate of one and one-half (1-1/2) times their regular hourly rate of pay after ten (10) hours in</t>
  </si>
  <si>
    <t xml:space="preserve">a workday, or after forty (40) hours in a week, inclusive of sick, vacation, and holiday pay.  Such employees shall be eligible for overtime at the </t>
  </si>
  <si>
    <t xml:space="preserve">rate of two (2) times their regular hourly rate of pay after fifty (50) hours of paid time in a work week, inclusive of sick, vacation, and holiday pay.  </t>
  </si>
  <si>
    <t xml:space="preserve">In addition, such employees shall be eligible for overtime at the rate of two (2) times their regular hourly rate of pay for all time worked on the </t>
  </si>
  <si>
    <t>sixth and seventh consecutive day of actual work (excludes paid but not-worked time.) Employees with this schedule shall be subject to the</t>
  </si>
  <si>
    <t xml:space="preserve">following conditions: 1) Employees may use up to ten (10) hours of accrued leave time for each day of sick or vacation used.  Employees will be </t>
  </si>
  <si>
    <t xml:space="preserve">paid only for the hours submitted.  2) Employees will be granted eight (8) hours of pay for each paid holiday; however, the employee may use up </t>
  </si>
  <si>
    <t>to two (2) hours of vacation or compensatory pay to complete their work day.</t>
  </si>
  <si>
    <t>TRAINING PREMIUM</t>
  </si>
  <si>
    <t xml:space="preserve">In its sole discretion, the Employer may assign an employee to train other employees. Without regard to the training topic, a training premium of </t>
  </si>
  <si>
    <t>three dollars and six point six cents [$3.066] per hour for all hours spent training shall be paid.  The employer will establish strict assignment</t>
  </si>
  <si>
    <t>protocol.</t>
  </si>
  <si>
    <t>BIO-HAZARD CLEAN UP PREMIUM</t>
  </si>
  <si>
    <r>
      <rPr>
        <b/>
        <sz val="11"/>
        <rFont val="Calibri"/>
        <family val="2"/>
        <scheme val="minor"/>
      </rPr>
      <t>Provided that</t>
    </r>
    <r>
      <rPr>
        <sz val="11"/>
        <rFont val="Calibri"/>
        <family val="2"/>
        <scheme val="minor"/>
      </rPr>
      <t xml:space="preserve"> employees in the </t>
    </r>
    <r>
      <rPr>
        <b/>
        <u/>
        <sz val="11"/>
        <rFont val="Calibri"/>
        <family val="2"/>
        <scheme val="minor"/>
      </rPr>
      <t xml:space="preserve">Equipment Service Worker </t>
    </r>
    <r>
      <rPr>
        <sz val="11"/>
        <rFont val="Calibri"/>
        <family val="2"/>
        <scheme val="minor"/>
      </rPr>
      <t>classification are eligible to receive a premium of seventy eight cents [$0.78]</t>
    </r>
  </si>
  <si>
    <t xml:space="preserve"> per hour for all hours worked performing Bio-Hazard Clean-up duties. </t>
  </si>
  <si>
    <t>FLSA</t>
  </si>
  <si>
    <t>Job Title</t>
  </si>
  <si>
    <t>Sal Plan</t>
  </si>
  <si>
    <t>Sal Grade</t>
  </si>
  <si>
    <t>Step</t>
  </si>
  <si>
    <t>Hrly Rate</t>
  </si>
  <si>
    <t>Annual Rt</t>
  </si>
  <si>
    <t>Std Hrs Wk</t>
  </si>
  <si>
    <t>Eff Date</t>
  </si>
  <si>
    <t>Grade</t>
  </si>
  <si>
    <t>Tot Points</t>
  </si>
  <si>
    <t>Union Code</t>
  </si>
  <si>
    <t>Max/Hour</t>
  </si>
  <si>
    <t>Step Desc</t>
  </si>
  <si>
    <t>N</t>
  </si>
  <si>
    <t>Asphalt Raker Apprentice I-C</t>
  </si>
  <si>
    <t>CLB</t>
  </si>
  <si>
    <t>Asphalt Raker Apprentice II-C</t>
  </si>
  <si>
    <t>Asphalt Raker-C</t>
  </si>
  <si>
    <t>15</t>
  </si>
  <si>
    <t>Attendant Impound Lot-C</t>
  </si>
  <si>
    <t>Cement Finisher Appr II-C</t>
  </si>
  <si>
    <t>Cement Finisher Appr III-C</t>
  </si>
  <si>
    <t>Cement Finisher Appr IV-C</t>
  </si>
  <si>
    <t>Cement Finisher Apprentice I-C</t>
  </si>
  <si>
    <t>Cement Finisher Journeyman-C</t>
  </si>
  <si>
    <t>18</t>
  </si>
  <si>
    <t>Constr Maint Laborer-C</t>
  </si>
  <si>
    <t>Custodian Property Services -C</t>
  </si>
  <si>
    <t>Delivery Worker-C</t>
  </si>
  <si>
    <t>Equipment Service Worker-C</t>
  </si>
  <si>
    <t>Lead Custodian Property Srv-C</t>
  </si>
  <si>
    <t>Lead Pipelayer I Pavng Const-C</t>
  </si>
  <si>
    <t>11</t>
  </si>
  <si>
    <t>Lead Pipelayer I,  Appr I-C</t>
  </si>
  <si>
    <t>Lead Pipelayer I, Appr II-C</t>
  </si>
  <si>
    <t>Lead Pipelayer II, Appr I-C</t>
  </si>
  <si>
    <t>Lead Pipelayer II, Appr II-C</t>
  </si>
  <si>
    <t>Lead Pipelayer II, Appr III-C</t>
  </si>
  <si>
    <t>Lead Pipelayer II-C</t>
  </si>
  <si>
    <t>Lead Pipelayer III, Appr I-C</t>
  </si>
  <si>
    <t>Lead Pipelayer III, Appr II-C</t>
  </si>
  <si>
    <t>Lead Pipelayer III, Appr III-C</t>
  </si>
  <si>
    <t>Lead Pipelayer III-C</t>
  </si>
  <si>
    <t>Maintenance Crew Ldr Bridge-C</t>
  </si>
  <si>
    <t>Maintenance Crew Ldr Sewer-C</t>
  </si>
  <si>
    <t>Maintenance Crew Ldr Sol Wst-C</t>
  </si>
  <si>
    <t>Maintenance Crew Ldr Streets-C</t>
  </si>
  <si>
    <t>Maintenance Crew Ldr Traffic-C</t>
  </si>
  <si>
    <t>Parking Meter Service Worker-C</t>
  </si>
  <si>
    <t>Plant Service Worker-C</t>
  </si>
  <si>
    <t>Public Works Service Wkr I-C</t>
  </si>
  <si>
    <t>Public Works Service Wkr Trn-C</t>
  </si>
  <si>
    <t>PW Equipment Dispatcher-C</t>
  </si>
  <si>
    <t>Senior Water Treatment Opr - C</t>
  </si>
  <si>
    <t>Sewer Pumping Station Opertr-C</t>
  </si>
  <si>
    <t>Shop Repair Worker I-C</t>
  </si>
  <si>
    <t>16</t>
  </si>
  <si>
    <t>Shop Repair Worker II-C</t>
  </si>
  <si>
    <t>17</t>
  </si>
  <si>
    <t>Stock Worker-C</t>
  </si>
  <si>
    <t>08</t>
  </si>
  <si>
    <t>Stores Center Coordinator - C</t>
  </si>
  <si>
    <t>Water Treatment Operator - C</t>
  </si>
  <si>
    <t>22</t>
  </si>
  <si>
    <t>Yard Coordinator I - C</t>
  </si>
  <si>
    <t>Yard Coordinator II - C</t>
  </si>
  <si>
    <t>Appendix "A"</t>
  </si>
  <si>
    <t xml:space="preserve">Effective on January 1, 2018:  </t>
  </si>
  <si>
    <t>Step movement is allowed</t>
  </si>
  <si>
    <t>32</t>
  </si>
  <si>
    <t xml:space="preserve">Asphalt Raker Apprentice I (1st 522 hours) </t>
  </si>
  <si>
    <t>33</t>
  </si>
  <si>
    <t>35</t>
  </si>
  <si>
    <t>36</t>
  </si>
  <si>
    <t>37</t>
  </si>
  <si>
    <t>Lead Pipe Layer I (Paving Const.)</t>
  </si>
  <si>
    <t>Lead Pipe Layer I (Paving Const.) Apprentice II (2nd 522 hours)</t>
  </si>
  <si>
    <t>Lead Pipe Layer II (Water Const.)</t>
  </si>
  <si>
    <t>Lead Pipe Layer II (Water Const.) Apprentice I (1st 522 hours)</t>
  </si>
  <si>
    <t>Lead Pipe Layer II (Water Const.) Apprentice II (2nd 522 hours)</t>
  </si>
  <si>
    <t>34</t>
  </si>
  <si>
    <t>Lead Pipe Layer II (Water Const.) Apprentice III (3rd 522 hours)</t>
  </si>
  <si>
    <t>31</t>
  </si>
  <si>
    <t>Lead Pipe Layer III (Sewer Const.)</t>
  </si>
  <si>
    <t>Lead Pipe Layer III (Sewer Const.) Apprentice I (1st 522 hours)</t>
  </si>
  <si>
    <t>Lead Pipe Layer III (Sewer Const.) Apprentice II (2nd 522 hours)</t>
  </si>
  <si>
    <t>Lead Pipe Layer III (Sewer Const.) Apprentice III (3rd 522 hours)</t>
  </si>
  <si>
    <t>6 months = $16.038</t>
  </si>
  <si>
    <t>After 6 months AND holds a CDL = $17.182</t>
  </si>
  <si>
    <t>Senior Water Treatment Operator (Eff. 5/13/2018) See below for step placement</t>
  </si>
  <si>
    <t>Water Treatment Operator* See below for Step Placement</t>
  </si>
  <si>
    <t>*PW Service Worker I's in an apperentice program (Asphalt Raker, Cement Finisher, Pipe Layers) are placed at the same step as their PWSW1 job.</t>
  </si>
  <si>
    <t xml:space="preserve">NOTE that in addition to the above hourly wages, a LIUNA pension fund contribution of $1.58 per hour is contributed on behalf of eligible employees. </t>
  </si>
  <si>
    <r>
      <t xml:space="preserve">Note that the </t>
    </r>
    <r>
      <rPr>
        <u/>
        <sz val="11"/>
        <rFont val="Calibri"/>
        <family val="2"/>
        <scheme val="minor"/>
      </rPr>
      <t>Senior Water Treatment Operator</t>
    </r>
    <r>
      <rPr>
        <sz val="11"/>
        <rFont val="Calibri"/>
        <family val="2"/>
        <scheme val="minor"/>
      </rPr>
      <t xml:space="preserve"> title was Accreted to the Union Effective May 13, 2018.  The wage rates and all other terms and conditions of Local 363 commence on this date. The wages shown in this schedule are the 2018 Wage Rates for this job title, and the job title base wages shall not increase in 2018 with any Across the Board increase that may be awarded to the Union resulting from the current Collective Bargaining activities. </t>
    </r>
  </si>
  <si>
    <r>
      <rPr>
        <b/>
        <u/>
        <sz val="11"/>
        <rFont val="Calibri"/>
        <family val="2"/>
        <scheme val="minor"/>
      </rPr>
      <t>Senior Water Treatment Operators</t>
    </r>
    <r>
      <rPr>
        <sz val="11"/>
        <rFont val="Calibri"/>
        <family val="2"/>
        <scheme val="minor"/>
      </rPr>
      <t xml:space="preserve"> are assigned to the wage step that reflects the highest level of certification held by the employee, as follows: </t>
    </r>
  </si>
  <si>
    <r>
      <rPr>
        <b/>
        <u/>
        <sz val="11"/>
        <rFont val="Calibri"/>
        <family val="2"/>
        <scheme val="minor"/>
      </rPr>
      <t>Water Treatment Operators</t>
    </r>
    <r>
      <rPr>
        <sz val="11"/>
        <rFont val="Calibri"/>
        <family val="2"/>
        <scheme val="minor"/>
      </rPr>
      <t xml:space="preserve">  are assigned to the wage step that reflects the highest level of certification held by the employee, as follows: </t>
    </r>
  </si>
  <si>
    <t xml:space="preserve">PREMIUMS: </t>
  </si>
  <si>
    <r>
      <rPr>
        <b/>
        <u/>
        <sz val="11"/>
        <rFont val="Calibri"/>
        <family val="2"/>
        <scheme val="minor"/>
      </rPr>
      <t xml:space="preserve">Plant Service Workers </t>
    </r>
    <r>
      <rPr>
        <sz val="11"/>
        <rFont val="Calibri"/>
        <family val="2"/>
        <scheme val="minor"/>
      </rPr>
      <t xml:space="preserve">who hold a Class "D" Water Supply Certificate shall receive an additional $0.25 per hour for all hours paid. </t>
    </r>
  </si>
  <si>
    <r>
      <rPr>
        <b/>
        <u/>
        <sz val="11"/>
        <rFont val="Calibri"/>
        <family val="2"/>
        <scheme val="minor"/>
      </rPr>
      <t>Cured in Place Pipe Relining PWSW1's</t>
    </r>
    <r>
      <rPr>
        <sz val="11"/>
        <rFont val="Calibri"/>
        <family val="2"/>
        <scheme val="minor"/>
      </rPr>
      <t xml:space="preserve"> will be compensated by being detailed to the Maintenance </t>
    </r>
  </si>
  <si>
    <r>
      <rPr>
        <b/>
        <u/>
        <sz val="11"/>
        <rFont val="Calibri"/>
        <family val="2"/>
        <scheme val="minor"/>
      </rPr>
      <t>Janitorial Workers:</t>
    </r>
    <r>
      <rPr>
        <b/>
        <sz val="11"/>
        <rFont val="Calibri"/>
        <family val="2"/>
        <scheme val="minor"/>
      </rPr>
      <t xml:space="preserve"> </t>
    </r>
    <r>
      <rPr>
        <sz val="11"/>
        <rFont val="Calibri"/>
        <family val="2"/>
        <scheme val="minor"/>
      </rPr>
      <t xml:space="preserve">At the discretion of the Director of Property Services, </t>
    </r>
    <r>
      <rPr>
        <b/>
        <u/>
        <sz val="11"/>
        <rFont val="Calibri"/>
        <family val="2"/>
        <scheme val="minor"/>
      </rPr>
      <t>Janitorial Workers</t>
    </r>
    <r>
      <rPr>
        <sz val="11"/>
        <rFont val="Calibri"/>
        <family val="2"/>
        <scheme val="minor"/>
      </rPr>
      <t xml:space="preserve"> may be assigned to higher-level janitorial </t>
    </r>
  </si>
  <si>
    <t>duties, and shall receive a premium of $1.861 per hour on a "as worked" basis when so assigned.</t>
  </si>
  <si>
    <t xml:space="preserve">In its sole discretion, the Employer may assign an employee to train other employees. Without regard to the training topic, a training </t>
  </si>
  <si>
    <t>premium of $3.133 per hour for all hours spent training shall be paid.  The employer will establish strict assignment protocol.</t>
  </si>
  <si>
    <r>
      <rPr>
        <b/>
        <u/>
        <sz val="11"/>
        <rFont val="Calibri"/>
        <family val="2"/>
        <scheme val="minor"/>
      </rPr>
      <t xml:space="preserve">Equipment Service Workers </t>
    </r>
    <r>
      <rPr>
        <sz val="11"/>
        <rFont val="Calibri"/>
        <family val="2"/>
        <scheme val="minor"/>
      </rPr>
      <t xml:space="preserve">shall receive a premium of $0.797 per hour for all hours worked performing Bio-Hazard Clean-up duties. </t>
    </r>
  </si>
  <si>
    <t>The following hourly premiums shall be paid to employees on a "when performed" basis.</t>
  </si>
  <si>
    <t>(2) Arial Bucket</t>
  </si>
  <si>
    <t>"Special Endorsement" premium-eligible equipments are:  Jet Vac, Flusher Truck, Trickle Truck, Oil Distributor Truck and Fuel Truck.</t>
  </si>
  <si>
    <t>Notwithstanding the requirements of the Fair Labor Standards Act, these payments shall be based on a maximum of 80 hours bi-weekly:</t>
  </si>
  <si>
    <r>
      <rPr>
        <b/>
        <u/>
        <sz val="11"/>
        <rFont val="Calibri"/>
        <family val="2"/>
        <scheme val="minor"/>
      </rPr>
      <t>Evening and Weekend</t>
    </r>
    <r>
      <rPr>
        <b/>
        <sz val="11"/>
        <rFont val="Calibri"/>
        <family val="2"/>
        <scheme val="minor"/>
      </rPr>
      <t>:</t>
    </r>
    <r>
      <rPr>
        <sz val="11"/>
        <rFont val="Calibri"/>
        <family val="2"/>
        <scheme val="minor"/>
      </rPr>
      <t xml:space="preserve"> The employer shall pay a Shift Differential equal to  $1.381 per hour for all work shifts that have a </t>
    </r>
  </si>
  <si>
    <t xml:space="preserve">*regular starting time between 12:00 p.m. (noon) and 6:00 a.m., or for all work shifts that have a *regular schedule that includes a </t>
  </si>
  <si>
    <r>
      <rPr>
        <b/>
        <u/>
        <sz val="11"/>
        <rFont val="Calibri"/>
        <family val="2"/>
        <scheme val="minor"/>
      </rPr>
      <t>Plant Service Workers, Water Treatment Operators and Senior Water Treatment Operators</t>
    </r>
    <r>
      <rPr>
        <sz val="11"/>
        <rFont val="Calibri"/>
        <family val="2"/>
        <scheme val="minor"/>
      </rPr>
      <t xml:space="preserve"> who are scheduled to work a full shift </t>
    </r>
  </si>
  <si>
    <t xml:space="preserve">that begins between 11:00 a.m. and 6:00 a.m. shall be paid an additional $1.228 per hour for all hours worked on the shift, including </t>
  </si>
  <si>
    <t xml:space="preserve">any overtime worked. </t>
  </si>
  <si>
    <r>
      <rPr>
        <b/>
        <u/>
        <sz val="11"/>
        <rFont val="Calibri"/>
        <family val="2"/>
        <scheme val="minor"/>
      </rPr>
      <t>Public Works Service Worker 1's who are reinstated</t>
    </r>
    <r>
      <rPr>
        <sz val="11"/>
        <rFont val="Calibri"/>
        <family val="2"/>
        <scheme val="minor"/>
      </rPr>
      <t xml:space="preserve"> during the first two (2) years after termination shall be paid </t>
    </r>
  </si>
  <si>
    <r>
      <rPr>
        <b/>
        <u/>
        <sz val="11"/>
        <rFont val="Calibri"/>
        <family val="2"/>
        <scheme val="minor"/>
      </rPr>
      <t>Ten-hour work schedules</t>
    </r>
    <r>
      <rPr>
        <b/>
        <sz val="11"/>
        <rFont val="Calibri"/>
        <family val="2"/>
        <scheme val="minor"/>
      </rPr>
      <t>.</t>
    </r>
    <r>
      <rPr>
        <sz val="11"/>
        <rFont val="Calibri"/>
        <family val="2"/>
        <scheme val="minor"/>
      </rPr>
      <t xml:space="preserve"> The following conditions apply to employees working regular schedules of ten (10) hour day/four-days a week:</t>
    </r>
  </si>
  <si>
    <t xml:space="preserve"> Overtime pay at the rate of one and one-half (1-1/2) times regular hourly rate of pay after ten (10) hours in a workday, or 40 hours in a week, </t>
  </si>
  <si>
    <t xml:space="preserve">    inclusive of sick, vacation, and holiday pay; </t>
  </si>
  <si>
    <t xml:space="preserve"> Overtime pay at the rate of two (2) times regular hourly rate of pay, inclusive of sick, vacation, and holiday pay after 50 hours of paid time </t>
  </si>
  <si>
    <t xml:space="preserve">   in a workweek;</t>
  </si>
  <si>
    <t xml:space="preserve"> Overtime pay at the rate of two (2) times regular hourly rate of pay on the sixth and seventh consecutive day of actual work (excludes </t>
  </si>
  <si>
    <t xml:space="preserve"> paid, but not-worked time), agreement, subject to the conditions set forth in Section 10.01 of the collective bargaining </t>
  </si>
  <si>
    <t>PercIncr2019</t>
  </si>
  <si>
    <t xml:space="preserve">Effective on January 1, 2019:  </t>
  </si>
  <si>
    <t>Salary
Grade</t>
  </si>
  <si>
    <t>Class
Grade</t>
  </si>
  <si>
    <t>FLSA
OTC</t>
  </si>
  <si>
    <t>Pay
Type</t>
  </si>
  <si>
    <t>52921C</t>
  </si>
  <si>
    <t>Construction Crew Leader</t>
  </si>
  <si>
    <t>Lead Pipe Layer I (Paving Const.) Apprentice I (1st 522 hours)</t>
  </si>
  <si>
    <t>6 months = $16.415</t>
  </si>
  <si>
    <t>After 6 months AND holds a CDL = $17.586</t>
  </si>
  <si>
    <t xml:space="preserve">Senior Water Treatment Operator </t>
  </si>
  <si>
    <t>38</t>
  </si>
  <si>
    <t>52931C</t>
  </si>
  <si>
    <t>Union Leader (Service Area Crew Leader)</t>
  </si>
  <si>
    <t>*PW Service Worker I's in an apprentice program (Asphalt Raker, Cement Finisher, Pipe Layers) are placed at the same step as their PWSW1 job.</t>
  </si>
  <si>
    <t xml:space="preserve">NOTE that in addition to the above hourly wages, a LIUNA pension fund contribution of $1.74 per hour is contributed on behalf of eligible employees. </t>
  </si>
  <si>
    <r>
      <rPr>
        <b/>
        <u/>
        <sz val="11"/>
        <rFont val="Calibri"/>
        <family val="2"/>
        <scheme val="minor"/>
      </rPr>
      <t>Plant Service Workers</t>
    </r>
    <r>
      <rPr>
        <sz val="11"/>
        <rFont val="Calibri"/>
        <family val="2"/>
        <scheme val="minor"/>
      </rPr>
      <t xml:space="preserve"> who hold a Class "D" Water Supply Certificate shall receive an additional $0.256 per hour for all hours paid. </t>
    </r>
  </si>
  <si>
    <t>CLBPWS</t>
  </si>
  <si>
    <t>Plant, Wtr, Sr Wtr Opera Cl D</t>
  </si>
  <si>
    <t>CLBJWK</t>
  </si>
  <si>
    <t>TL-Hghr Lvl Jan Wkr Duties CLB</t>
  </si>
  <si>
    <t>duties, and shall receive a premium $1.905 per hour on a "as worked" basis when so assigned.</t>
  </si>
  <si>
    <t>CLBTPP</t>
  </si>
  <si>
    <t>TL-Training Premium Pay-CLB</t>
  </si>
  <si>
    <t>premium of $3.207 per hour for all hours spent training shall be paid.  The employer will establish strict assignment protocol.</t>
  </si>
  <si>
    <r>
      <rPr>
        <b/>
        <sz val="11"/>
        <rFont val="Calibri"/>
        <family val="2"/>
        <scheme val="minor"/>
      </rPr>
      <t>E</t>
    </r>
    <r>
      <rPr>
        <b/>
        <u/>
        <sz val="11"/>
        <rFont val="Calibri"/>
        <family val="2"/>
        <scheme val="minor"/>
      </rPr>
      <t xml:space="preserve">quipment Service Workers </t>
    </r>
    <r>
      <rPr>
        <sz val="11"/>
        <rFont val="Calibri"/>
        <family val="2"/>
        <scheme val="minor"/>
      </rPr>
      <t xml:space="preserve">shall receive a premium of $0.816 per hour for all hours worked performing Bio-Hazard Clean-up duties. </t>
    </r>
  </si>
  <si>
    <t>CLBBIO</t>
  </si>
  <si>
    <t>TL-Bio Hazard Clean-up-CLB</t>
  </si>
  <si>
    <r>
      <t>T</t>
    </r>
    <r>
      <rPr>
        <sz val="11"/>
        <rFont val="Calibri"/>
        <family val="2"/>
        <scheme val="minor"/>
      </rPr>
      <t>he following hourly premiums shall be paid to employees on a "when performed" basis.</t>
    </r>
  </si>
  <si>
    <r>
      <t xml:space="preserve">Regular </t>
    </r>
    <r>
      <rPr>
        <b/>
        <u/>
        <sz val="11"/>
        <rFont val="Calibri"/>
        <family val="2"/>
        <scheme val="minor"/>
      </rPr>
      <t>Premium</t>
    </r>
  </si>
  <si>
    <r>
      <t xml:space="preserve">See Application </t>
    </r>
    <r>
      <rPr>
        <b/>
        <u/>
        <sz val="11"/>
        <rFont val="Calibri"/>
        <family val="2"/>
        <scheme val="minor"/>
      </rPr>
      <t xml:space="preserve">Eligibility** </t>
    </r>
  </si>
  <si>
    <t>CLBTNL</t>
  </si>
  <si>
    <t>TL-Tunnel and Shaft-CLB</t>
  </si>
  <si>
    <t>CLBAB1</t>
  </si>
  <si>
    <t>TL-Aerial Bucket 1-CLB</t>
  </si>
  <si>
    <t>CLBAB2</t>
  </si>
  <si>
    <t>TL-Aerial Bucket II(&gt;50ft)-CLB</t>
  </si>
  <si>
    <t>CLBRSP</t>
  </si>
  <si>
    <t>TL-Respirator-CLB</t>
  </si>
  <si>
    <t>CLBDYN</t>
  </si>
  <si>
    <t>TL-Miner Dynamiter-CLB</t>
  </si>
  <si>
    <t>CLBSPE</t>
  </si>
  <si>
    <t>TL-Special Endorsement-CLB</t>
  </si>
  <si>
    <t>CLBLWR</t>
  </si>
  <si>
    <t>TL-Lead Worker/Ramps-CLB</t>
  </si>
  <si>
    <t>Longevity</t>
  </si>
  <si>
    <t>10th Year</t>
  </si>
  <si>
    <t>15th Year</t>
  </si>
  <si>
    <t>20th Year</t>
  </si>
  <si>
    <t>25th Year</t>
  </si>
  <si>
    <t xml:space="preserve">Evening and Weekend: The employer shall pay a Shift Differential equal to  $1.413 per hour for all work shifts that have a </t>
  </si>
  <si>
    <t>CLBWKE</t>
  </si>
  <si>
    <t>TL-Weekend Shift-CLB</t>
  </si>
  <si>
    <t>CLBEVE</t>
  </si>
  <si>
    <t>TL-Evening Shift Premium-CLB</t>
  </si>
  <si>
    <t>CLBAM1</t>
  </si>
  <si>
    <t>TL-Morning Shift Premium CLB</t>
  </si>
  <si>
    <r>
      <rPr>
        <b/>
        <u/>
        <sz val="11"/>
        <rFont val="Calibri"/>
        <family val="2"/>
        <scheme val="minor"/>
      </rPr>
      <t>Plant Service Workers, Water Treatment Operators and Senior Water Treatment Operators</t>
    </r>
    <r>
      <rPr>
        <sz val="11"/>
        <rFont val="Calibri"/>
        <family val="2"/>
        <scheme val="minor"/>
      </rPr>
      <t xml:space="preserve"> who are scheduled to work a full shift that begins</t>
    </r>
  </si>
  <si>
    <t xml:space="preserve"> between 11:00 a.m. and 6:00 a.m. shall be paid an additional $1.257 per hour for all hours worked on the shift, including any overtime worked. </t>
  </si>
  <si>
    <t>CLBWTR</t>
  </si>
  <si>
    <t>TL-Water Shift-CLB</t>
  </si>
  <si>
    <t xml:space="preserve">   Overtime pay at the rate of one and one-half (1-1/2) times regular hourly rate of pay after ten (10) hours in a workday, or 40 hours in a week, </t>
  </si>
  <si>
    <t xml:space="preserve">   Overtime pay at the rate of two (2) times regular hourly rate of pay, inclusive of sick, vacation, and holiday pay after 50 hours of paid time </t>
  </si>
  <si>
    <t>PercIncr2020</t>
  </si>
  <si>
    <t>Note: Row 89 is hidden</t>
  </si>
  <si>
    <t>LIUNA2020</t>
  </si>
  <si>
    <t xml:space="preserve">Effective on January 1, 2020:  </t>
  </si>
  <si>
    <t>OLD Sal
Grade</t>
  </si>
  <si>
    <t>Classification Title</t>
  </si>
  <si>
    <t>Step 5</t>
  </si>
  <si>
    <t>Step 6</t>
  </si>
  <si>
    <t>Step 7</t>
  </si>
  <si>
    <t>Update</t>
  </si>
  <si>
    <t>Y</t>
  </si>
  <si>
    <t>no LIUNA</t>
  </si>
  <si>
    <t>Plant Service Workers:</t>
  </si>
  <si>
    <r>
      <rPr>
        <b/>
        <u/>
        <sz val="11"/>
        <rFont val="Calibri"/>
        <family val="2"/>
        <scheme val="minor"/>
      </rPr>
      <t>Janitorial Workers:</t>
    </r>
    <r>
      <rPr>
        <b/>
        <sz val="11"/>
        <rFont val="Calibri"/>
        <family val="2"/>
        <scheme val="minor"/>
      </rPr>
      <t xml:space="preserve"> </t>
    </r>
  </si>
  <si>
    <t xml:space="preserve">At the discretion of the Director of Property Services, Janitorial Workers may be assigned to higher-level janitorial </t>
  </si>
  <si>
    <t>Equipment Service Workers</t>
  </si>
  <si>
    <r>
      <t xml:space="preserve">Regular </t>
    </r>
    <r>
      <rPr>
        <b/>
        <u/>
        <sz val="10"/>
        <rFont val="Calibri"/>
        <family val="2"/>
        <scheme val="minor"/>
      </rPr>
      <t>Premium</t>
    </r>
  </si>
  <si>
    <r>
      <t xml:space="preserve">See Application </t>
    </r>
    <r>
      <rPr>
        <b/>
        <u/>
        <sz val="10"/>
        <rFont val="Calibri"/>
        <family val="2"/>
        <scheme val="minor"/>
      </rPr>
      <t>Eligibility**</t>
    </r>
    <r>
      <rPr>
        <b/>
        <sz val="10"/>
        <rFont val="Calibri"/>
        <family val="2"/>
        <scheme val="minor"/>
      </rPr>
      <t xml:space="preserve"> </t>
    </r>
  </si>
  <si>
    <r>
      <rPr>
        <b/>
        <u/>
        <sz val="11"/>
        <rFont val="Calibri"/>
        <family val="2"/>
        <scheme val="minor"/>
      </rPr>
      <t>Evening and Weekend</t>
    </r>
    <r>
      <rPr>
        <b/>
        <sz val="11"/>
        <rFont val="Calibri"/>
        <family val="2"/>
        <scheme val="minor"/>
      </rPr>
      <t>:</t>
    </r>
    <r>
      <rPr>
        <sz val="11"/>
        <rFont val="Calibri"/>
        <family val="2"/>
        <scheme val="minor"/>
      </rPr>
      <t xml:space="preserve"> </t>
    </r>
  </si>
  <si>
    <r>
      <rPr>
        <b/>
        <u/>
        <sz val="11"/>
        <rFont val="Calibri"/>
        <family val="2"/>
        <scheme val="minor"/>
      </rPr>
      <t xml:space="preserve">Plant Service Workers, Water Treatment Operators and Senior Water Treatment Operators </t>
    </r>
    <r>
      <rPr>
        <sz val="11"/>
        <rFont val="Calibri"/>
        <family val="2"/>
        <scheme val="minor"/>
      </rPr>
      <t xml:space="preserve">who are scheduled to work a full shift that begins </t>
    </r>
  </si>
  <si>
    <t xml:space="preserve">between 11:00 a.m. and 6:00 a.m. shall be paid an additional $1.287 per hour for all hours worked on the shift, including any overtime worked. </t>
  </si>
  <si>
    <r>
      <rPr>
        <b/>
        <u/>
        <sz val="11"/>
        <rFont val="Calibri"/>
        <family val="2"/>
        <scheme val="minor"/>
      </rPr>
      <t xml:space="preserve">Public Works Service Worker 1's who are reinstated </t>
    </r>
    <r>
      <rPr>
        <sz val="11"/>
        <rFont val="Calibri"/>
        <family val="2"/>
        <scheme val="minor"/>
      </rPr>
      <t xml:space="preserve">during the first two (2) years after termination shall be paid </t>
    </r>
  </si>
  <si>
    <t>MN Water Supply System Operator Certificate,  Class C</t>
  </si>
  <si>
    <t>MN Water Supply System Operator Certificate,  Class B</t>
  </si>
  <si>
    <t>MN Water Supply System Operator Certificate,  Class A</t>
  </si>
  <si>
    <t>PercIncr2021</t>
  </si>
  <si>
    <t>LIUNA2021</t>
  </si>
  <si>
    <r>
      <t xml:space="preserve">Effective on January 1, 2021 </t>
    </r>
    <r>
      <rPr>
        <i/>
        <sz val="11"/>
        <rFont val="Calibri"/>
        <family val="2"/>
        <scheme val="minor"/>
      </rPr>
      <t>(1.5% increase)</t>
    </r>
    <r>
      <rPr>
        <b/>
        <sz val="11"/>
        <rFont val="Calibri"/>
        <family val="2"/>
        <scheme val="minor"/>
      </rPr>
      <t xml:space="preserve">:  </t>
    </r>
  </si>
  <si>
    <r>
      <t xml:space="preserve">Effective on July 1, 2021 </t>
    </r>
    <r>
      <rPr>
        <i/>
        <sz val="11"/>
        <rFont val="Calibri"/>
        <family val="2"/>
        <scheme val="minor"/>
      </rPr>
      <t>(change to Union Representative rate only)</t>
    </r>
    <r>
      <rPr>
        <b/>
        <sz val="11"/>
        <rFont val="Calibri"/>
        <family val="2"/>
        <scheme val="minor"/>
      </rPr>
      <t xml:space="preserve">:  </t>
    </r>
  </si>
  <si>
    <t>PercIncr2022</t>
  </si>
  <si>
    <t>LIUNA2022</t>
  </si>
  <si>
    <r>
      <t xml:space="preserve">Effective on January 1, 2022 </t>
    </r>
    <r>
      <rPr>
        <i/>
        <sz val="11"/>
        <rFont val="Calibri"/>
        <family val="2"/>
        <scheme val="minor"/>
      </rPr>
      <t>(2.5% Increase)</t>
    </r>
    <r>
      <rPr>
        <b/>
        <sz val="11"/>
        <rFont val="Calibri"/>
        <family val="2"/>
        <scheme val="minor"/>
      </rPr>
      <t xml:space="preserve">:  </t>
    </r>
  </si>
  <si>
    <t>Updated January 12, 2023</t>
  </si>
  <si>
    <t>Union Leader (Park Keeper  Crew Leader)</t>
  </si>
  <si>
    <t>CLBPAS</t>
  </si>
  <si>
    <t>Premium adjustment for supplemental pension</t>
  </si>
  <si>
    <t>PWSW I Rates</t>
  </si>
  <si>
    <t>PWSW I Proposed Difference To</t>
  </si>
  <si>
    <t>PWSW II Apprentice</t>
  </si>
  <si>
    <t>PWSW II</t>
  </si>
  <si>
    <t>LMC Market Data</t>
  </si>
  <si>
    <t>Year</t>
  </si>
  <si>
    <t>COLA</t>
  </si>
  <si>
    <t>Equity Adj</t>
  </si>
  <si>
    <t>Mkt Adj</t>
  </si>
  <si>
    <t>PWSWI Adj</t>
  </si>
  <si>
    <t>LMC Mkt Adj Rate</t>
  </si>
  <si>
    <t>PWSWII Appr Step 5</t>
  </si>
  <si>
    <t>PWSW II Step 1</t>
  </si>
  <si>
    <t>Est Rate</t>
  </si>
  <si>
    <t>Adj Rate</t>
  </si>
  <si>
    <t>% Incr</t>
  </si>
  <si>
    <t>0-1000 hours
(= max base PWSWI)</t>
  </si>
  <si>
    <t>1001-2000
hours</t>
  </si>
  <si>
    <t>2001-3000
hours</t>
  </si>
  <si>
    <t>3001-4000
hours</t>
  </si>
  <si>
    <t>After 4000
hours</t>
  </si>
  <si>
    <t>Proposed PWSW I Rates</t>
  </si>
  <si>
    <t>% Increase</t>
  </si>
  <si>
    <t>Union Proposal 12-20-2023</t>
  </si>
  <si>
    <t>+$6.25</t>
  </si>
  <si>
    <t>+4.5%</t>
  </si>
  <si>
    <t>Final 2024 Rates</t>
  </si>
  <si>
    <t>+1.0%</t>
  </si>
  <si>
    <t>Final 2025 Rates</t>
  </si>
  <si>
    <t>+2.5%</t>
  </si>
  <si>
    <t>Final 2026 Rates</t>
  </si>
  <si>
    <t>PercIncr2023</t>
  </si>
  <si>
    <t>LIUNA2023</t>
  </si>
  <si>
    <r>
      <t xml:space="preserve">Effective on January 1, 2023 </t>
    </r>
    <r>
      <rPr>
        <i/>
        <sz val="11"/>
        <rFont val="Calibri"/>
        <family val="2"/>
        <scheme val="minor"/>
      </rPr>
      <t>(2.5% Increase)</t>
    </r>
    <r>
      <rPr>
        <b/>
        <sz val="11"/>
        <rFont val="Calibri"/>
        <family val="2"/>
        <scheme val="minor"/>
      </rPr>
      <t xml:space="preserve">:  </t>
    </r>
  </si>
  <si>
    <t>Mkt Data</t>
  </si>
  <si>
    <t>40</t>
  </si>
  <si>
    <t>inactivate</t>
  </si>
  <si>
    <t>44</t>
  </si>
  <si>
    <t>39</t>
  </si>
  <si>
    <t>Parking Meter Technician</t>
  </si>
  <si>
    <t>Union Leader (Park Keeper Crew Leader)</t>
  </si>
  <si>
    <t>41</t>
  </si>
  <si>
    <t>53050C</t>
  </si>
  <si>
    <t>Water Treatment Campus Coordinator</t>
  </si>
  <si>
    <t>MN Water Supply System Operator Certificate,  Class D</t>
  </si>
  <si>
    <t>Public Works Service Worker I's in the Surface Water and Sewers Division and Maintenance Crew Leaders - Sewer who hold the MPCA Certification referenced below shall receive the premium as stated for all hours paid.</t>
  </si>
  <si>
    <t xml:space="preserve">Class "S-D" Collection System or Class "D" Wastewater Certification: </t>
  </si>
  <si>
    <t>D</t>
  </si>
  <si>
    <t>Class "S-C" Collection System or Class "C" Wastewater Certification:</t>
  </si>
  <si>
    <t>C</t>
  </si>
  <si>
    <t>Class "S-B" Collection System or Class "B" Wastewater Certification:</t>
  </si>
  <si>
    <t>B</t>
  </si>
  <si>
    <t>Class "S-A" Collection System or Class "A" Wastewater Certification:</t>
  </si>
  <si>
    <t>A</t>
  </si>
  <si>
    <r>
      <rPr>
        <b/>
        <u/>
        <sz val="11"/>
        <rFont val="Calibri"/>
        <family val="2"/>
        <scheme val="minor"/>
      </rPr>
      <t>Cured in Place Pipe Relining PWSW1's</t>
    </r>
    <r>
      <rPr>
        <sz val="11"/>
        <rFont val="Calibri"/>
        <family val="2"/>
        <scheme val="minor"/>
      </rPr>
      <t xml:space="preserve"> will be compensated by being detailed to the Construction </t>
    </r>
  </si>
  <si>
    <t>Custodian (Property Services)</t>
  </si>
  <si>
    <t xml:space="preserve">At the discretion of the Director of Property Services, Custodians may be assigned to higher-level janitorial </t>
  </si>
  <si>
    <r>
      <t xml:space="preserve">See Application </t>
    </r>
    <r>
      <rPr>
        <b/>
        <u/>
        <sz val="11"/>
        <rFont val="Calibri"/>
        <family val="2"/>
        <scheme val="minor"/>
      </rPr>
      <t>Eligibility**</t>
    </r>
    <r>
      <rPr>
        <b/>
        <sz val="11"/>
        <rFont val="Calibri"/>
        <family val="2"/>
        <scheme val="minor"/>
      </rPr>
      <t xml:space="preserve"> </t>
    </r>
  </si>
  <si>
    <t>(7) OSA Open Trench Excavation</t>
  </si>
  <si>
    <t>New</t>
  </si>
  <si>
    <t>11-Paid to Public Works Service Worker I's and Construction Crew Leaders assigned to the Surface Water &amp; Sewers Division who are working on an Open Trench Excavation projects</t>
  </si>
  <si>
    <t xml:space="preserve"> on which excavations of more than 4' in depth are encountered and require OSHA approved cave-in protection.</t>
  </si>
  <si>
    <t>Water Treatment Operators and Senior Water Treatment Operators are excluded from this shift differential provision. (see next)</t>
  </si>
  <si>
    <t>Water Treatment Operator and Senior Water Treatment Operators:</t>
  </si>
  <si>
    <t>Evening:</t>
  </si>
  <si>
    <t>CLBWEV</t>
  </si>
  <si>
    <t>work shifts that have a regular starting time on a weekday (Monday – Friday) between 12:00 p.m. (noon) and 6:00 a.m. Regular is defined as shifts assigned on the</t>
  </si>
  <si>
    <t xml:space="preserve"> water plant operations monthly work schedule.</t>
  </si>
  <si>
    <t>Weekend:</t>
  </si>
  <si>
    <t>CLBWWE</t>
  </si>
  <si>
    <t xml:space="preserve">work shifts that have a regular starting time on a weekend (Saturday or Sunday) Shift Differentials shall be paid for all hours worked on the shift, including overtime </t>
  </si>
  <si>
    <t>hours. Regular is defined as shifts assigned on the water plant operations monthly work schedule.</t>
  </si>
  <si>
    <t>New2</t>
  </si>
  <si>
    <t>11:00 AM - 6:00 PM</t>
  </si>
  <si>
    <t>City of Minneapolis</t>
  </si>
  <si>
    <t>Effective 1/1/2024</t>
  </si>
  <si>
    <t>COLA Increase</t>
  </si>
  <si>
    <t>Internal Equity Adjustment</t>
  </si>
  <si>
    <t>Market Adjustment 1</t>
  </si>
  <si>
    <t>Market Adjustment 2</t>
  </si>
  <si>
    <t>Rates Exclude $1.74 Pension Contribution</t>
  </si>
  <si>
    <t>Rates Include $1.74 Pension Contribution</t>
  </si>
  <si>
    <t>HRIS/Payroll Rates</t>
  </si>
  <si>
    <t>Last Updated: September 25, 2024</t>
  </si>
  <si>
    <t>Last Updated: April 23, 2024</t>
  </si>
  <si>
    <t>Rates do not reflect $1.74 pension contribution</t>
  </si>
  <si>
    <t>Total
Points</t>
  </si>
  <si>
    <t>FLSA-
OTC</t>
  </si>
  <si>
    <t>Senior Water Treatment Operator*</t>
  </si>
  <si>
    <t>Union Leader (Park Keeper Crew Leader) - determined by Pk Bd</t>
  </si>
  <si>
    <t>NA</t>
  </si>
  <si>
    <t>PREMIUMS</t>
  </si>
  <si>
    <t>Public Works Service Worker I:</t>
  </si>
  <si>
    <t xml:space="preserve">Public Works Service Worker I's in the Surface Water and Sewers Division and Maintenance Crew Leaders - Sewer who hold the MPCA </t>
  </si>
  <si>
    <t>Certification referenced below shall receive the premium as stated for all hours paid.</t>
  </si>
  <si>
    <t>Class "S-D" Collection System or Class "D" Wastewater Certification</t>
  </si>
  <si>
    <t>CLBSWD</t>
  </si>
  <si>
    <t>Class "S-C" Collection System or Class "C" Wastewater Certification</t>
  </si>
  <si>
    <t>CLBSWC</t>
  </si>
  <si>
    <t>Class "S-B" Collection System or Class "B" Wastewater Certification</t>
  </si>
  <si>
    <t>CLBSWB</t>
  </si>
  <si>
    <t>Class "S-A" Collection System or Class "A" Wastewater Certification</t>
  </si>
  <si>
    <t>CLBSWA</t>
  </si>
  <si>
    <r>
      <rPr>
        <b/>
        <u/>
        <sz val="11"/>
        <rFont val="Calibri"/>
        <family val="2"/>
        <scheme val="minor"/>
      </rPr>
      <t>Cured in Place Pipe Relining PWSW1's</t>
    </r>
    <r>
      <rPr>
        <sz val="11"/>
        <rFont val="Calibri"/>
        <family val="2"/>
        <scheme val="minor"/>
      </rPr>
      <t xml:space="preserve"> will be compensated by being detailed to the Construction</t>
    </r>
  </si>
  <si>
    <r>
      <rPr>
        <b/>
        <u/>
        <sz val="11"/>
        <rFont val="Calibri"/>
        <family val="2"/>
        <scheme val="minor"/>
      </rPr>
      <t>Custodian (Property Services):</t>
    </r>
    <r>
      <rPr>
        <b/>
        <sz val="11"/>
        <rFont val="Calibri"/>
        <family val="2"/>
        <scheme val="minor"/>
      </rPr>
      <t xml:space="preserve"> </t>
    </r>
  </si>
  <si>
    <t>Critical Response Premium</t>
  </si>
  <si>
    <t>CRP</t>
  </si>
  <si>
    <t>in addition to their normal hourly rate of pay.</t>
  </si>
  <si>
    <t>Training Premium</t>
  </si>
  <si>
    <r>
      <t>T</t>
    </r>
    <r>
      <rPr>
        <sz val="11"/>
        <rFont val="Calibri"/>
        <family val="2"/>
        <scheme val="minor"/>
      </rPr>
      <t>he following hourly premiums shall be paid to employees on a "when performed" basis:</t>
    </r>
  </si>
  <si>
    <t>Regular
Premium</t>
  </si>
  <si>
    <t>See Application
Eligibility</t>
  </si>
  <si>
    <t>(7) OSHA Open Trench Excavation</t>
  </si>
  <si>
    <t>CLBTEO</t>
  </si>
  <si>
    <t>OSHA open trench excavation</t>
  </si>
  <si>
    <t>1   Paid to all employees when working in an underground tunnel, or underground shaft, and</t>
  </si>
  <si>
    <t xml:space="preserve">     for work performed at locations cited on a list mutually developed by representatives of the Union and Sewer Department Management.</t>
  </si>
  <si>
    <t xml:space="preserve">     This list will be posted in Sewer Department offices. Said list may be modified annually after a "meet and confer" between the Sewer </t>
  </si>
  <si>
    <t xml:space="preserve">     Department Management and the Union. </t>
  </si>
  <si>
    <t>2   Paid to all employees who are assigned to work from an aerial bucket. The</t>
  </si>
  <si>
    <t xml:space="preserve">     higher of the two premiums is paid only when the altitude of the work being performed</t>
  </si>
  <si>
    <t xml:space="preserve">     in the bucket is higher than fifty (50) feet.</t>
  </si>
  <si>
    <t xml:space="preserve">3   Paid to all employees who are assigned work in an environment determined to be contaminated by OSHA or MNPCA standards. </t>
  </si>
  <si>
    <t xml:space="preserve">     The Premium is only paid when employees are  required to use respirators or self contained breathing apparatus or similar level of personal</t>
  </si>
  <si>
    <t xml:space="preserve">     protection  ("OSHA requires clean shaven for ensured safety") while working in said environment. NOTE to Foremen and Supervisors: Criteria for </t>
  </si>
  <si>
    <t xml:space="preserve">     eligibility will be the same as the criteria for earning the top Hazwoper premium in previous years (pre-PWSW1), and current OSHA standards.</t>
  </si>
  <si>
    <t>4   Paid to all employees who are assigned as the miner.</t>
  </si>
  <si>
    <t>5   Paid to employees when they are responsible for certain vehicles requiring a Class "A" Commercial Driver's License (CDL) or CDL Special</t>
  </si>
  <si>
    <t xml:space="preserve">     endorsement, as follows:</t>
  </si>
  <si>
    <t>*  Class "A" License premium-eligible equipments are: Tractor Trailer &amp; Lowboy.</t>
  </si>
  <si>
    <t>*  "Special Endorsement" premium-eligible equipments are:  Jet Vac, Flusher Truck, Trickle Truck, Oil Distributor Truck and Fuel Truck.</t>
  </si>
  <si>
    <t>6   Paid to employees assigned to Lead Worker in Ramps</t>
  </si>
  <si>
    <t>7   Paid to Public Works Service Worker I's and Construction Crew Leaders assigned to the Surface Water &amp; Sewers Division who are working on Open Trench Excavation projects</t>
  </si>
  <si>
    <t>7-Paid to Public Works Service Worker I's and Construction Crew Leaders assigned to the Surface Water &amp; Sewers Division who are working on an Open Trench Excavation projects</t>
  </si>
  <si>
    <t xml:space="preserve">     on which excavations of more than 4' in depth are encountered and require OSHA approved cave-in protection.</t>
  </si>
  <si>
    <t xml:space="preserve">   on which excavations of more than 4' in depth are encountered and require OSHA approved cave-in protection.</t>
  </si>
  <si>
    <r>
      <rPr>
        <b/>
        <sz val="11"/>
        <rFont val="Calibri"/>
        <family val="2"/>
        <scheme val="minor"/>
      </rPr>
      <t>Evening and Weekend:</t>
    </r>
    <r>
      <rPr>
        <sz val="11"/>
        <rFont val="Calibri"/>
        <family val="2"/>
        <scheme val="minor"/>
      </rPr>
      <t xml:space="preserve"> </t>
    </r>
  </si>
  <si>
    <t xml:space="preserve">*   Overtime pay at the rate of one and one-half (1-1/2) times regular hourly rate of pay after ten (10) hours in a workday, or 40 hours in a week, </t>
  </si>
  <si>
    <t xml:space="preserve">      inclusive of sick, vacation, and holiday pay; </t>
  </si>
  <si>
    <t xml:space="preserve">*   Overtime pay at the rate of two (2) times regular hourly rate of pay, inclusive of sick, vacation, and holiday pay after 50 hours of paid time </t>
  </si>
  <si>
    <t xml:space="preserve">      in a workweek;</t>
  </si>
  <si>
    <t xml:space="preserve">*   Overtime pay at the rate of two (2) times regular hourly rate of pay on the sixth and seventh consecutive day of actual work (excludes </t>
  </si>
  <si>
    <t xml:space="preserve">      paid, but not-worked time), agreement, subject to the conditions set forth in Section 10.01 of the collective bargaining </t>
  </si>
  <si>
    <t>Last updated 12/10/2024</t>
  </si>
  <si>
    <t>Page 1 of 1</t>
  </si>
  <si>
    <t>Effective 1/1/2025</t>
  </si>
  <si>
    <t>Market Adjustment</t>
  </si>
  <si>
    <t>7-Paid to Public Works Service Worker I's and Construction Crew Leaders assigned to the Surface Water &amp; Sewers Division who are working on Open Trench Excavation projects</t>
  </si>
  <si>
    <t xml:space="preserve">Overtime pay at the rate of one and one-half (1-1/2) times regular hourly rate of pay after ten (10) hours in a workday, or 40 hours in a week, </t>
  </si>
  <si>
    <t xml:space="preserve">inclusive of sick, vacation, and holiday pay; </t>
  </si>
  <si>
    <t xml:space="preserve">Overtime pay at the rate of two (2) times regular hourly rate of pay, inclusive of sick, vacation, and holiday pay after 50 hours of paid time </t>
  </si>
  <si>
    <t>in a workweek;</t>
  </si>
  <si>
    <t xml:space="preserve">Overtime pay at the rate of two (2) times regular hourly rate of pay on the sixth and seventh consecutive day of actual work (excludes </t>
  </si>
  <si>
    <t xml:space="preserve">paid, but not-worked time), agreement, subject to the conditions set forth in Section 10.01 of the collective bargaining </t>
  </si>
  <si>
    <t>Effective 1/1/2026</t>
  </si>
  <si>
    <r>
      <rPr>
        <b/>
        <u/>
        <sz val="11"/>
        <rFont val="Calibri"/>
        <family val="2"/>
      </rPr>
      <t>Senior Water Treatment Operators</t>
    </r>
    <r>
      <rPr>
        <sz val="11"/>
        <rFont val="Calibri"/>
        <family val="2"/>
      </rPr>
      <t xml:space="preserve"> are assigned to the wage step that reflects the highest level of certification held by the employee, as follows: </t>
    </r>
  </si>
  <si>
    <r>
      <rPr>
        <b/>
        <u/>
        <sz val="11"/>
        <rFont val="Calibri"/>
        <family val="2"/>
      </rPr>
      <t>Water Treatment Operators</t>
    </r>
    <r>
      <rPr>
        <sz val="11"/>
        <rFont val="Calibri"/>
        <family val="2"/>
      </rPr>
      <t xml:space="preserve">  are assigned to the wage step that reflects the highest level of certification held by the employee, as follows: </t>
    </r>
  </si>
  <si>
    <r>
      <rPr>
        <b/>
        <u/>
        <sz val="11"/>
        <rFont val="Calibri"/>
        <family val="2"/>
      </rPr>
      <t>Cured in Place Pipe Relining PWSW1's</t>
    </r>
    <r>
      <rPr>
        <sz val="11"/>
        <rFont val="Calibri"/>
        <family val="2"/>
      </rPr>
      <t xml:space="preserve"> will be compensated by being detailed to the Construction</t>
    </r>
  </si>
  <si>
    <r>
      <rPr>
        <b/>
        <u/>
        <sz val="11"/>
        <rFont val="Calibri"/>
        <family val="2"/>
      </rPr>
      <t>Custodian (Property Services):</t>
    </r>
    <r>
      <rPr>
        <b/>
        <sz val="11"/>
        <rFont val="Calibri"/>
        <family val="2"/>
      </rPr>
      <t xml:space="preserve"> </t>
    </r>
  </si>
  <si>
    <r>
      <t>T</t>
    </r>
    <r>
      <rPr>
        <sz val="11"/>
        <rFont val="Calibri"/>
        <family val="2"/>
      </rPr>
      <t>he following hourly premiums shall be paid to employees on a "when performed" basis:</t>
    </r>
  </si>
  <si>
    <r>
      <rPr>
        <b/>
        <sz val="11"/>
        <rFont val="Calibri"/>
        <family val="2"/>
      </rPr>
      <t>Evening and Weekend:</t>
    </r>
    <r>
      <rPr>
        <sz val="11"/>
        <rFont val="Calibri"/>
        <family val="2"/>
      </rPr>
      <t xml:space="preserve"> </t>
    </r>
  </si>
  <si>
    <r>
      <rPr>
        <b/>
        <u/>
        <sz val="11"/>
        <rFont val="Calibri"/>
        <family val="2"/>
      </rPr>
      <t>Ten-hour work schedules</t>
    </r>
    <r>
      <rPr>
        <b/>
        <sz val="11"/>
        <rFont val="Calibri"/>
        <family val="2"/>
      </rPr>
      <t>.</t>
    </r>
    <r>
      <rPr>
        <sz val="11"/>
        <rFont val="Calibri"/>
        <family val="2"/>
      </rPr>
      <t xml:space="preserve"> The following conditions apply to employees working regular schedules of ten (10) hour day/four-days a week:</t>
    </r>
  </si>
  <si>
    <t>Unknown</t>
  </si>
  <si>
    <t>Pam Nelms</t>
  </si>
  <si>
    <t xml:space="preserve">Effective January 1, 2018 </t>
  </si>
  <si>
    <t xml:space="preserve">BEFORE any ATB is computed, provide internal adjustments to the following jobs to make them have the following 2017-effective base rates: </t>
  </si>
  <si>
    <t xml:space="preserve">ATB for 2018 = 2.2% (All wages, premiums, longevity and shift differentials, except for jobs and premiums new in 2018, including Senior Water Treatment Operator and the new premium for Plant Service Workers for holding a valid Class "D" Water Supply Certificate ($0.25), which were established with the correct 2018 rates thus not eligible for an ATB this year. </t>
  </si>
  <si>
    <t>NOTE: To calculate the ATB for 2018, first add back the LIUNA value for 2017 ($1.43), then apply the ATB. The 2018 LIUNA will then be subtracted from that number to get the new 2018 wages.</t>
  </si>
  <si>
    <t xml:space="preserve">The employer-made contribution to LIUNA fund for 2017 is $1.43 per hour and beginning January 1, 2018 it will be $1.58.  A wage concession commensurate with the value of the contribution has been agreed to, and the rates below reflect that concession. </t>
  </si>
  <si>
    <t>Step movement is allowed.</t>
  </si>
  <si>
    <t>Effective January 1, 2019</t>
  </si>
  <si>
    <t xml:space="preserve">ATB 2019 = 2.35% (All wages, premiums and shift differential, and longevity. </t>
  </si>
  <si>
    <t>NOTE: To calculate the ATB for 2019, first add back the LIUNA value for 2018 ($1.58), then apply the ATB. The 2019 LIUNA will then be subtracted from that number to get the new 2019 wages.</t>
  </si>
  <si>
    <t xml:space="preserve">The employer-made contribution to LIUNA fund for 2019 is $1.74 per hour.  A wage concession commensurate with the value of the contribution has been agreed to, and the rates below reflect that concession. </t>
  </si>
  <si>
    <t>Effective January 1, 2020:</t>
  </si>
  <si>
    <t xml:space="preserve">ATB 2020 = 2.35% (All wages, premiums and shift differential, and longevity. </t>
  </si>
  <si>
    <t>NOTE: To calculate the ATB for 2020, first add back the LIUNA value for 2019 ($1.74), then apply the ATB. The 2020 LIUNA will then be subtracted from that number to get the new 2020 wages.</t>
  </si>
  <si>
    <t xml:space="preserve">The employer-made contribution to LIUNA fund for 2020 is $1.74 per hour.  A wage concession commensurate with the value of the contribution has been agreed to, and the rates below reflect that concession. </t>
  </si>
  <si>
    <t>Brenda Miller</t>
  </si>
  <si>
    <t>Completed audit of 1/1/19 rates against PeopleSoft rates. Found 2 jobs to be missing from the salary schedule (Construction Crew Leader 52921C and Union Representative 52931C). Pending direction from Rebecca Hardel.</t>
  </si>
  <si>
    <t>Unhid Points column and per Rebecca, added Construction Crew Leader (52912C) and union representative (52931C)  Also changed 2019 and 2020 tabs to vlookups. Note: Per Laura, Union Rep should be paid the same as the Park Keeper Crew Leader, per contract. 1/1/20 rate left blank because do not know the rate at this point.</t>
  </si>
  <si>
    <t>Added items in green columns</t>
  </si>
  <si>
    <t>12/10/20220</t>
  </si>
  <si>
    <t>Corrected Union Representative 1/1/19 rate - was $34.074 and changed to $33.580</t>
  </si>
  <si>
    <t>Added 7/1/19 tab to reflect change in Union Representative rate to $34.074</t>
  </si>
  <si>
    <t>Corrected Union Representative 1/1/20 rate - was $34.410 and changed to $34.611</t>
  </si>
  <si>
    <t>Added 7/1/2020 tab to reflect new Union Representative Rate of $35.157</t>
  </si>
  <si>
    <t>Changed Union Representative Park Keeper Crew Leader to Service Area Crew Leader because the Park Board had changed the title</t>
  </si>
  <si>
    <t>Added 1/1/21 tab to reflect 1/1/21 rate for Union Representative</t>
  </si>
  <si>
    <t>Added 7/1/21 tab to reflect 7/1/21 rate for Union Representative</t>
  </si>
  <si>
    <t>Updated Union Representative rate for 1/1/2022 and 1/1/2023</t>
  </si>
  <si>
    <t>Erick Howatt</t>
  </si>
  <si>
    <t>Updated Cement Finisher Journeymen after reclassification</t>
  </si>
  <si>
    <t>Updated Parking Meter Service Worker to Parking Meter Technician and salary schedule</t>
  </si>
  <si>
    <t>Corrected Cement Finisher grade to grade 7</t>
  </si>
  <si>
    <t>Confirmed with Brenda that it's ok to submit the CLB schedule after COLA and pay adjustments.</t>
  </si>
  <si>
    <t>Union Representative (Service Crew Leader) Rate (CLB 38)</t>
  </si>
  <si>
    <t>Eff Dt</t>
  </si>
  <si>
    <t>was</t>
  </si>
  <si>
    <t>s/be</t>
  </si>
  <si>
    <t>Corey Webster (031193)</t>
  </si>
  <si>
    <t>Diff</t>
  </si>
  <si>
    <t>started job</t>
  </si>
  <si>
    <t>new Job row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</si>
</sst>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8" formatCode="&quot;$&quot;#,##0.00_);[Red]\(&quot;$&quot;#,##0.00\)"/>
    <numFmt numFmtId="43" formatCode="_(* #,##0.00_);_(* \(#,##0.00\);_(* &quot;-&quot;??_);_(@_)"/>
    <numFmt numFmtId="164" formatCode="0.000"/>
    <numFmt numFmtId="165" formatCode="General_)"/>
    <numFmt numFmtId="166" formatCode="&quot;$&quot;#,##0.000_);\(&quot;$&quot;#,##0.000\)"/>
    <numFmt numFmtId="167" formatCode="&quot;$&quot;#,##0.000"/>
    <numFmt numFmtId="168" formatCode="&quot;$&quot;#,##0.000_);[Red]\(&quot;$&quot;#,##0.000\)"/>
    <numFmt numFmtId="169" formatCode="0.000000"/>
    <numFmt numFmtId="170" formatCode="&quot;$&quot;#,##0.00"/>
    <numFmt numFmtId="171" formatCode="0.0%"/>
  </numFmts>
  <fonts count="52">
    <font>
      <sz val="10"/>
      <name val="Arial"/>
      <family val="2"/>
    </font>
    <font>
      <sz val="11"/>
      <color theme="1"/>
      <name val="Calibri"/>
      <family val="2"/>
    </font>
    <font>
      <sz val="11"/>
      <color theme="1"/>
      <name val="Calibri"/>
      <family val="2"/>
    </font>
    <font>
      <sz val="10"/>
      <name val="Arial"/>
      <family val="2"/>
    </font>
    <font>
      <b/>
      <sz val="11"/>
      <name val="Calibri"/>
      <family val="2"/>
      <scheme val="minor"/>
    </font>
    <font>
      <sz val="11"/>
      <name val="Calibri"/>
      <family val="2"/>
      <scheme val="minor"/>
    </font>
    <font>
      <b/>
      <sz val="8"/>
      <name val="Calibri"/>
      <family val="2"/>
      <scheme val="minor"/>
    </font>
    <font>
      <b/>
      <sz val="9"/>
      <name val="Calibri"/>
      <family val="2"/>
      <scheme val="minor"/>
    </font>
    <font>
      <sz val="8"/>
      <name val="Calibri"/>
      <family val="2"/>
      <scheme val="minor"/>
    </font>
    <font>
      <sz val="9"/>
      <name val="Calibri"/>
      <family val="2"/>
      <scheme val="minor"/>
    </font>
    <font>
      <sz val="8"/>
      <name val="Arial"/>
      <family val="2"/>
    </font>
    <font>
      <b/>
      <sz val="11"/>
      <name val="Arial"/>
      <family val="2"/>
    </font>
    <font>
      <i/>
      <sz val="11"/>
      <name val="Calibri"/>
      <family val="2"/>
      <scheme val="minor"/>
    </font>
    <font>
      <sz val="12"/>
      <name val="Helv"/>
    </font>
    <font>
      <u/>
      <sz val="11"/>
      <name val="Calibri"/>
      <family val="2"/>
      <scheme val="minor"/>
    </font>
    <font>
      <b/>
      <u/>
      <sz val="11"/>
      <name val="Calibri"/>
      <family val="2"/>
      <scheme val="minor"/>
    </font>
    <font>
      <sz val="10"/>
      <name val="Calibri"/>
      <family val="2"/>
      <scheme val="minor"/>
    </font>
    <font>
      <b/>
      <sz val="10"/>
      <name val="Calibri"/>
      <family val="2"/>
      <scheme val="minor"/>
    </font>
    <font>
      <b/>
      <sz val="10"/>
      <name val="Arial"/>
      <family val="2"/>
    </font>
    <font>
      <b/>
      <sz val="8"/>
      <color indexed="81"/>
      <name val="Tahoma"/>
      <family val="2"/>
    </font>
    <font>
      <sz val="8"/>
      <color indexed="81"/>
      <name val="Tahoma"/>
      <family val="2"/>
    </font>
    <font>
      <b/>
      <strike/>
      <sz val="8"/>
      <name val="Century Gothic"/>
      <family val="2"/>
    </font>
    <font>
      <b/>
      <sz val="8"/>
      <name val="Bookman Old Style"/>
      <family val="1"/>
    </font>
    <font>
      <sz val="10"/>
      <name val="MS Sans Serif"/>
      <family val="2"/>
    </font>
    <font>
      <b/>
      <sz val="10"/>
      <name val="MS Sans Serif"/>
      <family val="2"/>
    </font>
    <font>
      <sz val="9"/>
      <color indexed="81"/>
      <name val="Tahoma"/>
      <family val="2"/>
    </font>
    <font>
      <b/>
      <sz val="9"/>
      <color indexed="81"/>
      <name val="Tahoma"/>
      <family val="2"/>
    </font>
    <font>
      <sz val="11"/>
      <color indexed="8"/>
      <name val="Calibri"/>
      <family val="2"/>
      <scheme val="minor"/>
    </font>
    <font>
      <sz val="10"/>
      <color theme="1"/>
      <name val="Arial"/>
      <family val="2"/>
    </font>
    <font>
      <i/>
      <sz val="11"/>
      <color theme="1"/>
      <name val="Calibri"/>
      <family val="2"/>
      <scheme val="minor"/>
    </font>
    <font>
      <b/>
      <sz val="10"/>
      <color theme="1"/>
      <name val="Arial"/>
      <family val="2"/>
    </font>
    <font>
      <sz val="8"/>
      <color theme="1"/>
      <name val="Arial"/>
      <family val="2"/>
    </font>
    <font>
      <sz val="11"/>
      <name val="Arial"/>
      <family val="2"/>
    </font>
    <font>
      <b/>
      <sz val="12"/>
      <name val="Calibri"/>
      <family val="2"/>
      <scheme val="minor"/>
    </font>
    <font>
      <sz val="12"/>
      <name val="Calibri"/>
      <family val="2"/>
      <scheme val="minor"/>
    </font>
    <font>
      <b/>
      <u/>
      <sz val="10"/>
      <name val="Calibri"/>
      <family val="2"/>
      <scheme val="minor"/>
    </font>
    <font>
      <u/>
      <sz val="10"/>
      <name val="Arial"/>
      <family val="2"/>
    </font>
    <font>
      <u/>
      <sz val="10"/>
      <color theme="10"/>
      <name val="Arial"/>
      <family val="2"/>
    </font>
    <font>
      <strike/>
      <sz val="10"/>
      <name val="Arial"/>
      <family val="2"/>
    </font>
    <font>
      <b/>
      <sz val="11"/>
      <color theme="1"/>
      <name val="Calibri"/>
      <family val="2"/>
    </font>
    <font>
      <sz val="11"/>
      <color theme="0"/>
      <name val="Calibri"/>
      <family val="2"/>
    </font>
    <font>
      <sz val="11"/>
      <color rgb="FFFF0000"/>
      <name val="Calibri"/>
      <family val="2"/>
      <scheme val="minor"/>
    </font>
    <font>
      <u/>
      <sz val="11"/>
      <color rgb="FFFF0000"/>
      <name val="Calibri"/>
      <family val="2"/>
      <scheme val="minor"/>
    </font>
    <font>
      <strike/>
      <sz val="11"/>
      <name val="Calibri"/>
      <family val="2"/>
      <scheme val="minor"/>
    </font>
    <font>
      <sz val="10"/>
      <color rgb="FFFF0000"/>
      <name val="Calibri"/>
      <family val="2"/>
      <scheme val="minor"/>
    </font>
    <font>
      <b/>
      <i/>
      <sz val="11"/>
      <name val="Calibri"/>
      <family val="2"/>
      <scheme val="minor"/>
    </font>
    <font>
      <sz val="11"/>
      <name val="Calibri"/>
      <family val="2"/>
    </font>
    <font>
      <b/>
      <sz val="11"/>
      <name val="Calibri"/>
      <family val="2"/>
    </font>
    <font>
      <i/>
      <sz val="11"/>
      <name val="Calibri"/>
      <family val="2"/>
    </font>
    <font>
      <b/>
      <u/>
      <sz val="11"/>
      <name val="Calibri"/>
      <family val="2"/>
    </font>
    <font>
      <u/>
      <sz val="11"/>
      <name val="Calibri"/>
      <family val="2"/>
    </font>
    <font>
      <b/>
      <i/>
      <sz val="11"/>
      <name val="Calibri"/>
      <family val="2"/>
    </font>
  </fonts>
  <fills count="14">
    <fill>
      <patternFill patternType="none"/>
    </fill>
    <fill>
      <patternFill patternType="gray125"/>
    </fill>
    <fill>
      <patternFill patternType="mediumGray">
        <fgColor indexed="22"/>
      </patternFill>
    </fill>
    <fill>
      <patternFill patternType="solid">
        <fgColor theme="1"/>
        <bgColor indexed="64"/>
      </patternFill>
    </fill>
    <fill>
      <patternFill patternType="solid">
        <fgColor theme="1"/>
        <bgColor indexed="55"/>
      </patternFill>
    </fill>
    <fill>
      <patternFill patternType="solid">
        <fgColor theme="6"/>
        <bgColor indexed="64"/>
      </patternFill>
    </fill>
    <fill>
      <patternFill patternType="solid">
        <fgColor theme="6" tint="0.39997558519241921"/>
        <bgColor indexed="64"/>
      </patternFill>
    </fill>
    <fill>
      <patternFill patternType="solid">
        <fgColor rgb="FFFFC000"/>
        <bgColor indexed="64"/>
      </patternFill>
    </fill>
    <fill>
      <patternFill patternType="solid">
        <fgColor theme="8"/>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bgColor indexed="64"/>
      </patternFill>
    </fill>
    <fill>
      <patternFill patternType="solid">
        <fgColor theme="0" tint="-0.14999847407452621"/>
        <bgColor indexed="64"/>
      </patternFill>
    </fill>
    <fill>
      <patternFill patternType="solid">
        <fgColor theme="9"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top/>
      <bottom style="medium">
        <color indexed="64"/>
      </bottom>
      <diagonal/>
    </border>
    <border>
      <left style="double">
        <color auto="1"/>
      </left>
      <right style="double">
        <color auto="1"/>
      </right>
      <top style="double">
        <color auto="1"/>
      </top>
      <bottom style="double">
        <color auto="1"/>
      </bottom>
      <diagonal/>
    </border>
    <border>
      <left/>
      <right/>
      <top style="thin">
        <color indexed="64"/>
      </top>
      <bottom/>
      <diagonal/>
    </border>
  </borders>
  <cellStyleXfs count="16">
    <xf numFmtId="0" fontId="0" fillId="0" borderId="0"/>
    <xf numFmtId="165" fontId="13" fillId="0" borderId="0"/>
    <xf numFmtId="0" fontId="13" fillId="0" borderId="0"/>
    <xf numFmtId="37" fontId="21" fillId="0" borderId="0" applyNumberFormat="0" applyAlignment="0"/>
    <xf numFmtId="43" fontId="22" fillId="0" borderId="0" applyFill="0" applyBorder="0" applyAlignment="0" applyProtection="0"/>
    <xf numFmtId="0" fontId="23" fillId="0" borderId="0" applyNumberFormat="0" applyFont="0" applyFill="0" applyBorder="0" applyAlignment="0" applyProtection="0">
      <alignment horizontal="left"/>
    </xf>
    <xf numFmtId="15" fontId="23" fillId="0" borderId="0" applyFont="0" applyFill="0" applyBorder="0" applyAlignment="0" applyProtection="0"/>
    <xf numFmtId="4" fontId="23" fillId="0" borderId="0" applyFont="0" applyFill="0" applyBorder="0" applyAlignment="0" applyProtection="0"/>
    <xf numFmtId="0" fontId="24" fillId="0" borderId="17">
      <alignment horizontal="center"/>
    </xf>
    <xf numFmtId="3" fontId="23" fillId="0" borderId="0" applyFont="0" applyFill="0" applyBorder="0" applyAlignment="0" applyProtection="0"/>
    <xf numFmtId="0" fontId="23" fillId="2" borderId="0" applyNumberFormat="0" applyFont="0" applyBorder="0" applyAlignment="0" applyProtection="0"/>
    <xf numFmtId="0" fontId="27" fillId="0" borderId="0"/>
    <xf numFmtId="9" fontId="3" fillId="0" borderId="0" applyFont="0" applyFill="0" applyBorder="0" applyAlignment="0" applyProtection="0"/>
    <xf numFmtId="0" fontId="37" fillId="0" borderId="0" applyNumberFormat="0" applyFill="0" applyBorder="0" applyAlignment="0" applyProtection="0"/>
    <xf numFmtId="43" fontId="3" fillId="0" borderId="0" applyFont="0" applyFill="0" applyBorder="0" applyAlignment="0" applyProtection="0"/>
    <xf numFmtId="0" fontId="2" fillId="0" borderId="0"/>
  </cellStyleXfs>
  <cellXfs count="660">
    <xf numFmtId="0" fontId="0" fillId="0" borderId="0" xfId="0"/>
    <xf numFmtId="0" fontId="4" fillId="0" borderId="1" xfId="0" applyNumberFormat="1" applyFont="1" applyFill="1" applyBorder="1" applyAlignment="1" applyProtection="1">
      <alignment horizontal="left"/>
      <protection hidden="1"/>
    </xf>
    <xf numFmtId="0" fontId="5" fillId="0" borderId="1" xfId="0" applyFont="1" applyFill="1" applyBorder="1" applyProtection="1">
      <protection hidden="1"/>
    </xf>
    <xf numFmtId="0" fontId="5" fillId="0" borderId="1" xfId="0" applyFont="1" applyFill="1" applyBorder="1" applyAlignment="1" applyProtection="1">
      <alignment horizontal="left"/>
      <protection hidden="1"/>
    </xf>
    <xf numFmtId="0" fontId="5" fillId="0" borderId="1" xfId="0" applyFont="1" applyFill="1" applyBorder="1" applyAlignment="1" applyProtection="1">
      <alignment horizontal="center"/>
      <protection hidden="1"/>
    </xf>
    <xf numFmtId="0" fontId="4" fillId="0" borderId="1" xfId="0" applyFont="1" applyFill="1" applyBorder="1" applyProtection="1">
      <protection hidden="1"/>
    </xf>
    <xf numFmtId="0" fontId="4" fillId="0" borderId="1" xfId="0" applyFont="1" applyFill="1" applyBorder="1" applyAlignment="1" applyProtection="1">
      <alignment horizontal="center"/>
      <protection hidden="1"/>
    </xf>
    <xf numFmtId="0" fontId="6" fillId="0" borderId="1" xfId="0" applyFont="1" applyFill="1" applyBorder="1" applyAlignment="1" applyProtection="1">
      <alignment horizontal="center" wrapText="1"/>
      <protection hidden="1"/>
    </xf>
    <xf numFmtId="0" fontId="7" fillId="0" borderId="1" xfId="0" applyFont="1" applyFill="1" applyBorder="1" applyAlignment="1" applyProtection="1">
      <alignment horizontal="center" wrapText="1"/>
      <protection hidden="1"/>
    </xf>
    <xf numFmtId="0" fontId="5" fillId="0" borderId="1" xfId="0" applyNumberFormat="1" applyFont="1" applyFill="1" applyBorder="1" applyProtection="1">
      <protection hidden="1"/>
    </xf>
    <xf numFmtId="0" fontId="4" fillId="0" borderId="1" xfId="0" applyNumberFormat="1" applyFont="1" applyFill="1" applyBorder="1" applyAlignment="1" applyProtection="1">
      <alignment horizontal="center" wrapText="1"/>
      <protection hidden="1"/>
    </xf>
    <xf numFmtId="0" fontId="4" fillId="0" borderId="1" xfId="0" applyFont="1" applyFill="1" applyBorder="1" applyAlignment="1" applyProtection="1">
      <alignment horizontal="center" wrapText="1"/>
      <protection hidden="1"/>
    </xf>
    <xf numFmtId="0" fontId="4" fillId="0" borderId="1" xfId="0" applyFont="1" applyFill="1" applyBorder="1" applyAlignment="1" applyProtection="1">
      <alignment horizontal="left"/>
      <protection hidden="1"/>
    </xf>
    <xf numFmtId="0" fontId="8" fillId="0" borderId="1" xfId="0" applyFont="1" applyFill="1" applyBorder="1" applyAlignment="1" applyProtection="1">
      <alignment horizontal="center"/>
      <protection hidden="1"/>
    </xf>
    <xf numFmtId="0" fontId="9" fillId="0" borderId="1" xfId="0" applyFont="1" applyFill="1" applyBorder="1" applyAlignment="1" applyProtection="1">
      <alignment horizontal="center"/>
      <protection hidden="1"/>
    </xf>
    <xf numFmtId="164" fontId="5" fillId="0" borderId="1" xfId="0" applyNumberFormat="1" applyFont="1" applyFill="1" applyBorder="1" applyAlignment="1" applyProtection="1">
      <alignment horizontal="left"/>
      <protection hidden="1"/>
    </xf>
    <xf numFmtId="164" fontId="5" fillId="0" borderId="1" xfId="0" applyNumberFormat="1" applyFont="1" applyFill="1" applyBorder="1" applyProtection="1">
      <protection hidden="1"/>
    </xf>
    <xf numFmtId="164" fontId="5" fillId="0" borderId="1" xfId="0" applyNumberFormat="1" applyFont="1" applyFill="1" applyBorder="1" applyAlignment="1" applyProtection="1">
      <alignment horizontal="center"/>
      <protection hidden="1"/>
    </xf>
    <xf numFmtId="0" fontId="0" fillId="0" borderId="1" xfId="0" applyFont="1" applyFill="1" applyBorder="1" applyProtection="1">
      <protection hidden="1"/>
    </xf>
    <xf numFmtId="164" fontId="10" fillId="0" borderId="1" xfId="0" applyNumberFormat="1" applyFont="1" applyFill="1" applyBorder="1" applyAlignment="1" applyProtection="1">
      <alignment horizontal="center"/>
      <protection hidden="1"/>
    </xf>
    <xf numFmtId="0" fontId="5" fillId="0" borderId="1" xfId="0" applyFont="1" applyFill="1" applyBorder="1" applyAlignment="1" applyProtection="1">
      <alignment horizontal="left" wrapText="1"/>
      <protection hidden="1"/>
    </xf>
    <xf numFmtId="164" fontId="11" fillId="0" borderId="1" xfId="0" applyNumberFormat="1" applyFont="1" applyFill="1" applyBorder="1" applyAlignment="1" applyProtection="1">
      <alignment horizontal="left"/>
      <protection hidden="1"/>
    </xf>
    <xf numFmtId="164" fontId="0" fillId="0" borderId="1" xfId="0" applyNumberFormat="1" applyFont="1" applyFill="1" applyBorder="1" applyAlignment="1" applyProtection="1">
      <alignment horizontal="right"/>
      <protection hidden="1"/>
    </xf>
    <xf numFmtId="164" fontId="0" fillId="0" borderId="1" xfId="0" applyNumberFormat="1" applyFont="1" applyFill="1" applyBorder="1" applyProtection="1">
      <protection hidden="1"/>
    </xf>
    <xf numFmtId="164" fontId="0" fillId="0" borderId="1" xfId="0" applyNumberFormat="1" applyFont="1" applyFill="1" applyBorder="1" applyAlignment="1" applyProtection="1">
      <alignment horizontal="left"/>
      <protection hidden="1"/>
    </xf>
    <xf numFmtId="1" fontId="5" fillId="0" borderId="1" xfId="0" applyNumberFormat="1" applyFont="1" applyFill="1" applyBorder="1" applyAlignment="1" applyProtection="1">
      <alignment horizontal="center"/>
      <protection hidden="1"/>
    </xf>
    <xf numFmtId="49" fontId="12" fillId="0" borderId="1" xfId="0" applyNumberFormat="1" applyFont="1" applyFill="1" applyBorder="1" applyAlignment="1" applyProtection="1">
      <alignment horizontal="center" wrapText="1"/>
      <protection hidden="1"/>
    </xf>
    <xf numFmtId="49" fontId="5" fillId="0" borderId="1" xfId="0" applyNumberFormat="1" applyFont="1" applyFill="1" applyBorder="1" applyAlignment="1" applyProtection="1">
      <alignment horizontal="center"/>
      <protection hidden="1"/>
    </xf>
    <xf numFmtId="0" fontId="4" fillId="0" borderId="1" xfId="1" applyNumberFormat="1" applyFont="1" applyFill="1" applyBorder="1" applyProtection="1">
      <protection hidden="1"/>
    </xf>
    <xf numFmtId="0" fontId="8" fillId="0" borderId="1" xfId="0" applyFont="1" applyFill="1" applyBorder="1" applyProtection="1">
      <protection hidden="1"/>
    </xf>
    <xf numFmtId="0" fontId="5" fillId="0" borderId="1" xfId="1" applyNumberFormat="1" applyFont="1" applyFill="1" applyBorder="1" applyProtection="1">
      <protection hidden="1"/>
    </xf>
    <xf numFmtId="0" fontId="5" fillId="0" borderId="5" xfId="0" applyFont="1" applyFill="1" applyBorder="1" applyProtection="1">
      <protection hidden="1"/>
    </xf>
    <xf numFmtId="0" fontId="5" fillId="0" borderId="5" xfId="0" applyFont="1" applyFill="1" applyBorder="1" applyAlignment="1" applyProtection="1">
      <alignment horizontal="left"/>
      <protection hidden="1"/>
    </xf>
    <xf numFmtId="0" fontId="8" fillId="0" borderId="5" xfId="0" applyFont="1" applyFill="1" applyBorder="1" applyProtection="1">
      <protection hidden="1"/>
    </xf>
    <xf numFmtId="0" fontId="5" fillId="0" borderId="2" xfId="0" applyFont="1" applyFill="1" applyBorder="1" applyProtection="1">
      <protection hidden="1"/>
    </xf>
    <xf numFmtId="0" fontId="5" fillId="0" borderId="6" xfId="0" applyFont="1" applyFill="1" applyBorder="1" applyAlignment="1" applyProtection="1">
      <alignment horizontal="center"/>
      <protection hidden="1"/>
    </xf>
    <xf numFmtId="0" fontId="5" fillId="0" borderId="7" xfId="0" applyFont="1" applyFill="1" applyBorder="1" applyAlignment="1" applyProtection="1">
      <alignment horizontal="left"/>
      <protection hidden="1"/>
    </xf>
    <xf numFmtId="0" fontId="8" fillId="0" borderId="8" xfId="0" applyFont="1" applyFill="1" applyBorder="1" applyProtection="1">
      <protection hidden="1"/>
    </xf>
    <xf numFmtId="0" fontId="5" fillId="0" borderId="4" xfId="0" applyFont="1" applyFill="1" applyBorder="1" applyAlignment="1" applyProtection="1">
      <alignment horizontal="center"/>
      <protection hidden="1"/>
    </xf>
    <xf numFmtId="0" fontId="5" fillId="0" borderId="9" xfId="0" applyFont="1" applyFill="1" applyBorder="1" applyAlignment="1" applyProtection="1">
      <alignment horizontal="center"/>
      <protection hidden="1"/>
    </xf>
    <xf numFmtId="0" fontId="8" fillId="0" borderId="10" xfId="0" applyFont="1" applyFill="1" applyBorder="1" applyProtection="1">
      <protection hidden="1"/>
    </xf>
    <xf numFmtId="0" fontId="5" fillId="0" borderId="11" xfId="0" applyFont="1" applyFill="1" applyBorder="1" applyAlignment="1" applyProtection="1">
      <alignment horizontal="center"/>
      <protection hidden="1"/>
    </xf>
    <xf numFmtId="0" fontId="5" fillId="0" borderId="12" xfId="0" applyFont="1" applyFill="1" applyBorder="1" applyAlignment="1" applyProtection="1">
      <alignment horizontal="left"/>
      <protection hidden="1"/>
    </xf>
    <xf numFmtId="0" fontId="8" fillId="0" borderId="13" xfId="0" applyFont="1" applyFill="1" applyBorder="1" applyProtection="1">
      <protection hidden="1"/>
    </xf>
    <xf numFmtId="0" fontId="5" fillId="0" borderId="1" xfId="1" applyNumberFormat="1" applyFont="1" applyFill="1" applyBorder="1" applyAlignment="1" applyProtection="1">
      <alignment horizontal="left"/>
      <protection hidden="1"/>
    </xf>
    <xf numFmtId="0" fontId="5" fillId="0" borderId="14" xfId="0" applyFont="1" applyFill="1" applyBorder="1" applyProtection="1">
      <protection hidden="1"/>
    </xf>
    <xf numFmtId="0" fontId="5" fillId="0" borderId="14" xfId="0" applyFont="1" applyFill="1" applyBorder="1" applyAlignment="1" applyProtection="1">
      <alignment horizontal="left"/>
      <protection hidden="1"/>
    </xf>
    <xf numFmtId="0" fontId="8" fillId="0" borderId="14" xfId="0" applyFont="1" applyFill="1" applyBorder="1" applyProtection="1">
      <protection hidden="1"/>
    </xf>
    <xf numFmtId="165" fontId="5" fillId="0" borderId="1" xfId="1" applyFont="1" applyFill="1" applyBorder="1" applyProtection="1">
      <protection hidden="1"/>
    </xf>
    <xf numFmtId="165" fontId="5" fillId="0" borderId="1" xfId="1" applyFont="1" applyFill="1" applyBorder="1" applyAlignment="1" applyProtection="1">
      <alignment horizontal="left"/>
      <protection hidden="1"/>
    </xf>
    <xf numFmtId="165" fontId="8" fillId="0" borderId="1" xfId="1" applyFont="1" applyFill="1" applyBorder="1" applyProtection="1">
      <protection hidden="1"/>
    </xf>
    <xf numFmtId="164" fontId="5" fillId="0" borderId="1" xfId="1" applyNumberFormat="1" applyFont="1" applyFill="1" applyBorder="1" applyAlignment="1" applyProtection="1">
      <alignment horizontal="center"/>
      <protection hidden="1"/>
    </xf>
    <xf numFmtId="0" fontId="10" fillId="0" borderId="15" xfId="0" applyFont="1" applyFill="1" applyBorder="1" applyProtection="1">
      <protection hidden="1"/>
    </xf>
    <xf numFmtId="0" fontId="16" fillId="0" borderId="1" xfId="0" applyFont="1" applyFill="1" applyBorder="1" applyProtection="1">
      <protection hidden="1"/>
    </xf>
    <xf numFmtId="165" fontId="5" fillId="0" borderId="5" xfId="1" applyFont="1" applyFill="1" applyBorder="1" applyProtection="1">
      <protection hidden="1"/>
    </xf>
    <xf numFmtId="165" fontId="5" fillId="0" borderId="5" xfId="1" applyFont="1" applyFill="1" applyBorder="1" applyAlignment="1" applyProtection="1">
      <alignment horizontal="left"/>
      <protection hidden="1"/>
    </xf>
    <xf numFmtId="0" fontId="5" fillId="0" borderId="10" xfId="0" applyFont="1" applyFill="1" applyBorder="1" applyAlignment="1" applyProtection="1">
      <alignment horizontal="center"/>
      <protection hidden="1"/>
    </xf>
    <xf numFmtId="0" fontId="5" fillId="0" borderId="13" xfId="0" applyFont="1" applyFill="1" applyBorder="1" applyAlignment="1" applyProtection="1">
      <alignment horizontal="center"/>
      <protection hidden="1"/>
    </xf>
    <xf numFmtId="165" fontId="5" fillId="0" borderId="14" xfId="1" applyFont="1" applyFill="1" applyBorder="1" applyProtection="1">
      <protection hidden="1"/>
    </xf>
    <xf numFmtId="165" fontId="5" fillId="0" borderId="14" xfId="1" applyFont="1" applyFill="1" applyBorder="1" applyAlignment="1" applyProtection="1">
      <alignment horizontal="left"/>
      <protection hidden="1"/>
    </xf>
    <xf numFmtId="0" fontId="5" fillId="0" borderId="5" xfId="1" applyNumberFormat="1" applyFont="1" applyFill="1" applyBorder="1" applyProtection="1">
      <protection hidden="1"/>
    </xf>
    <xf numFmtId="0" fontId="16" fillId="0" borderId="5" xfId="0" applyFont="1" applyFill="1" applyBorder="1" applyProtection="1">
      <protection hidden="1"/>
    </xf>
    <xf numFmtId="0" fontId="5" fillId="0" borderId="5" xfId="0" applyFont="1" applyFill="1" applyBorder="1" applyAlignment="1" applyProtection="1">
      <alignment horizontal="center"/>
      <protection hidden="1"/>
    </xf>
    <xf numFmtId="0" fontId="4" fillId="0" borderId="6" xfId="1" applyNumberFormat="1" applyFont="1" applyFill="1" applyBorder="1" applyAlignment="1" applyProtection="1">
      <alignment horizontal="left"/>
      <protection hidden="1"/>
    </xf>
    <xf numFmtId="0" fontId="4" fillId="0" borderId="7" xfId="1" applyNumberFormat="1" applyFont="1" applyFill="1" applyBorder="1" applyAlignment="1" applyProtection="1">
      <alignment horizontal="left"/>
      <protection hidden="1"/>
    </xf>
    <xf numFmtId="165" fontId="5" fillId="0" borderId="7" xfId="1" applyFont="1" applyFill="1" applyBorder="1" applyProtection="1">
      <protection hidden="1"/>
    </xf>
    <xf numFmtId="165" fontId="5" fillId="0" borderId="7" xfId="1" applyFont="1" applyFill="1" applyBorder="1" applyAlignment="1" applyProtection="1">
      <alignment horizontal="left"/>
      <protection hidden="1"/>
    </xf>
    <xf numFmtId="0" fontId="16" fillId="0" borderId="7" xfId="0" applyFont="1" applyFill="1" applyBorder="1" applyProtection="1">
      <protection hidden="1"/>
    </xf>
    <xf numFmtId="165" fontId="4" fillId="0" borderId="7" xfId="1" applyFont="1" applyFill="1" applyBorder="1" applyAlignment="1" applyProtection="1">
      <alignment horizontal="left"/>
      <protection hidden="1"/>
    </xf>
    <xf numFmtId="166" fontId="5" fillId="0" borderId="7" xfId="1" applyNumberFormat="1" applyFont="1" applyFill="1" applyBorder="1" applyProtection="1">
      <protection hidden="1"/>
    </xf>
    <xf numFmtId="0" fontId="5" fillId="0" borderId="7" xfId="0" applyFont="1" applyFill="1" applyBorder="1" applyAlignment="1" applyProtection="1">
      <alignment horizontal="center"/>
      <protection hidden="1"/>
    </xf>
    <xf numFmtId="0" fontId="5" fillId="0" borderId="8" xfId="0" applyFont="1" applyFill="1" applyBorder="1" applyAlignment="1" applyProtection="1">
      <alignment horizontal="center"/>
      <protection hidden="1"/>
    </xf>
    <xf numFmtId="0" fontId="5" fillId="0" borderId="4" xfId="0" applyFont="1" applyFill="1" applyBorder="1" applyProtection="1">
      <protection hidden="1"/>
    </xf>
    <xf numFmtId="0" fontId="18" fillId="0" borderId="1" xfId="0" applyFont="1" applyFill="1" applyBorder="1" applyProtection="1">
      <protection hidden="1"/>
    </xf>
    <xf numFmtId="0" fontId="4" fillId="0" borderId="2" xfId="0" applyFont="1" applyFill="1" applyBorder="1" applyProtection="1">
      <protection hidden="1"/>
    </xf>
    <xf numFmtId="165" fontId="4" fillId="0" borderId="9" xfId="1" applyFont="1" applyFill="1" applyBorder="1" applyAlignment="1" applyProtection="1">
      <alignment horizontal="left"/>
      <protection hidden="1"/>
    </xf>
    <xf numFmtId="165" fontId="4" fillId="0" borderId="1" xfId="1" applyFont="1" applyFill="1" applyBorder="1" applyAlignment="1" applyProtection="1">
      <alignment horizontal="left"/>
      <protection hidden="1"/>
    </xf>
    <xf numFmtId="165" fontId="4" fillId="0" borderId="1" xfId="1" applyFont="1" applyFill="1" applyBorder="1" applyProtection="1">
      <protection hidden="1"/>
    </xf>
    <xf numFmtId="165" fontId="17" fillId="0" borderId="1" xfId="1" applyFont="1" applyFill="1" applyBorder="1" applyAlignment="1" applyProtection="1">
      <alignment horizontal="center" wrapText="1"/>
      <protection hidden="1"/>
    </xf>
    <xf numFmtId="165" fontId="5" fillId="0" borderId="9" xfId="1" applyFont="1" applyFill="1" applyBorder="1" applyAlignment="1" applyProtection="1">
      <alignment horizontal="left"/>
      <protection hidden="1"/>
    </xf>
    <xf numFmtId="165" fontId="5" fillId="0" borderId="9" xfId="1" applyFont="1" applyFill="1" applyBorder="1" applyProtection="1">
      <protection hidden="1"/>
    </xf>
    <xf numFmtId="0" fontId="4" fillId="0" borderId="9" xfId="1" applyNumberFormat="1" applyFont="1" applyFill="1" applyBorder="1" applyProtection="1">
      <protection hidden="1"/>
    </xf>
    <xf numFmtId="0" fontId="5" fillId="0" borderId="9" xfId="1" applyNumberFormat="1" applyFont="1" applyFill="1" applyBorder="1" applyAlignment="1" applyProtection="1">
      <alignment horizontal="left"/>
      <protection hidden="1"/>
    </xf>
    <xf numFmtId="165" fontId="5" fillId="0" borderId="0" xfId="1" applyFont="1" applyFill="1" applyBorder="1" applyProtection="1">
      <protection hidden="1"/>
    </xf>
    <xf numFmtId="0" fontId="16" fillId="0" borderId="9" xfId="1" applyNumberFormat="1" applyFont="1" applyFill="1" applyBorder="1" applyAlignment="1" applyProtection="1">
      <alignment horizontal="left"/>
      <protection hidden="1"/>
    </xf>
    <xf numFmtId="165" fontId="5" fillId="0" borderId="12" xfId="1" applyFont="1" applyFill="1" applyBorder="1" applyProtection="1">
      <protection hidden="1"/>
    </xf>
    <xf numFmtId="165" fontId="5" fillId="0" borderId="12" xfId="1" applyFont="1" applyFill="1" applyBorder="1" applyAlignment="1" applyProtection="1">
      <alignment horizontal="left"/>
      <protection hidden="1"/>
    </xf>
    <xf numFmtId="0" fontId="5" fillId="0" borderId="12" xfId="0" applyFont="1" applyFill="1" applyBorder="1" applyAlignment="1" applyProtection="1">
      <alignment horizontal="center"/>
      <protection hidden="1"/>
    </xf>
    <xf numFmtId="0" fontId="10" fillId="0" borderId="1" xfId="0" applyFont="1" applyFill="1" applyBorder="1" applyProtection="1">
      <protection hidden="1"/>
    </xf>
    <xf numFmtId="0" fontId="5" fillId="0" borderId="16" xfId="1" applyNumberFormat="1" applyFont="1" applyFill="1" applyBorder="1" applyAlignment="1" applyProtection="1">
      <alignment horizontal="left"/>
      <protection hidden="1"/>
    </xf>
    <xf numFmtId="165" fontId="5" fillId="0" borderId="16" xfId="1" applyFont="1" applyFill="1" applyBorder="1" applyProtection="1">
      <protection hidden="1"/>
    </xf>
    <xf numFmtId="165" fontId="5" fillId="0" borderId="16" xfId="1" applyFont="1" applyFill="1" applyBorder="1" applyAlignment="1" applyProtection="1">
      <alignment horizontal="left"/>
      <protection hidden="1"/>
    </xf>
    <xf numFmtId="165" fontId="8" fillId="0" borderId="16" xfId="1" applyFont="1" applyFill="1" applyBorder="1" applyProtection="1">
      <protection hidden="1"/>
    </xf>
    <xf numFmtId="0" fontId="5" fillId="0" borderId="16" xfId="0" applyFont="1" applyFill="1" applyBorder="1" applyAlignment="1" applyProtection="1">
      <alignment horizontal="center"/>
      <protection hidden="1"/>
    </xf>
    <xf numFmtId="165" fontId="8" fillId="0" borderId="7" xfId="1" applyFont="1" applyFill="1" applyBorder="1" applyAlignment="1" applyProtection="1">
      <alignment horizontal="center"/>
      <protection hidden="1"/>
    </xf>
    <xf numFmtId="167" fontId="5" fillId="0" borderId="7" xfId="1" applyNumberFormat="1" applyFont="1" applyFill="1" applyBorder="1" applyProtection="1">
      <protection hidden="1"/>
    </xf>
    <xf numFmtId="167" fontId="5" fillId="0" borderId="1" xfId="1" applyNumberFormat="1" applyFont="1" applyFill="1" applyBorder="1" applyProtection="1">
      <protection hidden="1"/>
    </xf>
    <xf numFmtId="164" fontId="5" fillId="0" borderId="9" xfId="0" applyNumberFormat="1" applyFont="1" applyFill="1" applyBorder="1" applyAlignment="1" applyProtection="1">
      <alignment horizontal="center"/>
      <protection hidden="1"/>
    </xf>
    <xf numFmtId="0" fontId="5" fillId="0" borderId="10" xfId="0" applyFont="1" applyFill="1" applyBorder="1" applyProtection="1">
      <protection hidden="1"/>
    </xf>
    <xf numFmtId="0" fontId="5" fillId="0" borderId="1" xfId="2" applyFont="1" applyFill="1" applyBorder="1" applyAlignment="1" applyProtection="1">
      <alignment horizontal="left"/>
      <protection hidden="1"/>
    </xf>
    <xf numFmtId="2" fontId="16" fillId="0" borderId="1" xfId="2" applyNumberFormat="1" applyFont="1" applyFill="1" applyBorder="1" applyAlignment="1" applyProtection="1">
      <alignment horizontal="center"/>
      <protection hidden="1"/>
    </xf>
    <xf numFmtId="2" fontId="5" fillId="0" borderId="1" xfId="2" applyNumberFormat="1" applyFont="1" applyFill="1" applyBorder="1" applyAlignment="1" applyProtection="1">
      <alignment horizontal="center"/>
      <protection hidden="1"/>
    </xf>
    <xf numFmtId="164" fontId="5" fillId="0" borderId="11" xfId="0" applyNumberFormat="1" applyFont="1" applyFill="1" applyBorder="1" applyAlignment="1" applyProtection="1">
      <alignment horizontal="center"/>
      <protection hidden="1"/>
    </xf>
    <xf numFmtId="164" fontId="5" fillId="0" borderId="12" xfId="0" applyNumberFormat="1" applyFont="1" applyFill="1" applyBorder="1" applyAlignment="1" applyProtection="1">
      <alignment horizontal="center"/>
      <protection hidden="1"/>
    </xf>
    <xf numFmtId="2" fontId="5" fillId="0" borderId="12" xfId="2" applyNumberFormat="1" applyFont="1" applyFill="1" applyBorder="1" applyAlignment="1" applyProtection="1">
      <alignment horizontal="center"/>
      <protection hidden="1"/>
    </xf>
    <xf numFmtId="0" fontId="5" fillId="0" borderId="12" xfId="0" applyFont="1" applyFill="1" applyBorder="1" applyProtection="1">
      <protection hidden="1"/>
    </xf>
    <xf numFmtId="0" fontId="5" fillId="0" borderId="16" xfId="0" applyNumberFormat="1" applyFont="1" applyFill="1" applyBorder="1" applyProtection="1">
      <protection hidden="1"/>
    </xf>
    <xf numFmtId="0" fontId="5" fillId="0" borderId="16" xfId="0" applyFont="1" applyFill="1" applyBorder="1" applyProtection="1">
      <protection hidden="1"/>
    </xf>
    <xf numFmtId="168" fontId="5" fillId="0" borderId="16" xfId="0" applyNumberFormat="1" applyFont="1" applyFill="1" applyBorder="1" applyAlignment="1" applyProtection="1">
      <alignment horizontal="left"/>
      <protection hidden="1"/>
    </xf>
    <xf numFmtId="2" fontId="17" fillId="0" borderId="16" xfId="2" applyNumberFormat="1" applyFont="1" applyFill="1" applyBorder="1" applyAlignment="1" applyProtection="1">
      <alignment horizontal="center"/>
      <protection hidden="1"/>
    </xf>
    <xf numFmtId="2" fontId="4" fillId="0" borderId="16" xfId="2" applyNumberFormat="1" applyFont="1" applyFill="1" applyBorder="1" applyAlignment="1" applyProtection="1">
      <alignment horizontal="center"/>
      <protection hidden="1"/>
    </xf>
    <xf numFmtId="0" fontId="4" fillId="0" borderId="7" xfId="2" applyFont="1" applyFill="1" applyBorder="1" applyProtection="1">
      <protection hidden="1"/>
    </xf>
    <xf numFmtId="0" fontId="16" fillId="0" borderId="7" xfId="0" applyFont="1" applyFill="1" applyBorder="1" applyAlignment="1" applyProtection="1">
      <protection hidden="1"/>
    </xf>
    <xf numFmtId="0" fontId="5" fillId="0" borderId="7" xfId="0" applyFont="1" applyFill="1" applyBorder="1" applyAlignment="1" applyProtection="1">
      <protection hidden="1"/>
    </xf>
    <xf numFmtId="0" fontId="5" fillId="0" borderId="7" xfId="0" applyFont="1" applyFill="1" applyBorder="1" applyProtection="1">
      <protection hidden="1"/>
    </xf>
    <xf numFmtId="0" fontId="5" fillId="0" borderId="1" xfId="2" applyFont="1" applyFill="1" applyBorder="1" applyProtection="1">
      <protection hidden="1"/>
    </xf>
    <xf numFmtId="168" fontId="16" fillId="0" borderId="1" xfId="0" applyNumberFormat="1" applyFont="1" applyFill="1" applyBorder="1" applyAlignment="1" applyProtection="1">
      <protection hidden="1"/>
    </xf>
    <xf numFmtId="0" fontId="4" fillId="0" borderId="1" xfId="2" applyFont="1" applyFill="1" applyBorder="1" applyProtection="1">
      <protection hidden="1"/>
    </xf>
    <xf numFmtId="0" fontId="5" fillId="0" borderId="1" xfId="0" applyFont="1" applyFill="1" applyBorder="1" applyAlignment="1" applyProtection="1">
      <protection hidden="1"/>
    </xf>
    <xf numFmtId="0" fontId="5" fillId="0" borderId="9" xfId="0" applyNumberFormat="1" applyFont="1" applyFill="1" applyBorder="1" applyProtection="1">
      <protection hidden="1"/>
    </xf>
    <xf numFmtId="0" fontId="5" fillId="0" borderId="11" xfId="0" applyNumberFormat="1" applyFont="1" applyFill="1" applyBorder="1" applyProtection="1">
      <protection hidden="1"/>
    </xf>
    <xf numFmtId="0" fontId="5" fillId="0" borderId="12" xfId="0" applyNumberFormat="1" applyFont="1" applyFill="1" applyBorder="1" applyProtection="1">
      <protection hidden="1"/>
    </xf>
    <xf numFmtId="0" fontId="16" fillId="0" borderId="12" xfId="0" applyFont="1" applyFill="1" applyBorder="1" applyProtection="1">
      <protection hidden="1"/>
    </xf>
    <xf numFmtId="0" fontId="5" fillId="0" borderId="13" xfId="0" applyFont="1" applyFill="1" applyBorder="1" applyProtection="1">
      <protection hidden="1"/>
    </xf>
    <xf numFmtId="0" fontId="5" fillId="0" borderId="16" xfId="0" applyFont="1" applyFill="1" applyBorder="1" applyAlignment="1" applyProtection="1">
      <alignment horizontal="left"/>
      <protection hidden="1"/>
    </xf>
    <xf numFmtId="0" fontId="16" fillId="0" borderId="16" xfId="0" applyFont="1" applyFill="1" applyBorder="1" applyProtection="1">
      <protection hidden="1"/>
    </xf>
    <xf numFmtId="0" fontId="5" fillId="0" borderId="6" xfId="1" applyNumberFormat="1" applyFont="1" applyFill="1" applyBorder="1" applyAlignment="1" applyProtection="1">
      <alignment horizontal="left"/>
      <protection hidden="1"/>
    </xf>
    <xf numFmtId="0" fontId="5" fillId="0" borderId="8" xfId="0" applyFont="1" applyFill="1" applyBorder="1" applyProtection="1">
      <protection hidden="1"/>
    </xf>
    <xf numFmtId="0" fontId="5" fillId="0" borderId="9" xfId="0" applyFont="1" applyFill="1" applyBorder="1" applyProtection="1">
      <protection hidden="1"/>
    </xf>
    <xf numFmtId="0" fontId="4" fillId="0" borderId="7" xfId="0" applyFont="1" applyFill="1" applyBorder="1" applyAlignment="1" applyProtection="1">
      <alignment horizontal="left"/>
      <protection hidden="1"/>
    </xf>
    <xf numFmtId="168" fontId="5" fillId="0" borderId="9" xfId="0" applyNumberFormat="1" applyFont="1" applyFill="1" applyBorder="1" applyProtection="1">
      <protection hidden="1"/>
    </xf>
    <xf numFmtId="168" fontId="5" fillId="0" borderId="1" xfId="0" applyNumberFormat="1" applyFont="1" applyFill="1" applyBorder="1" applyProtection="1">
      <protection hidden="1"/>
    </xf>
    <xf numFmtId="0" fontId="6" fillId="0" borderId="1" xfId="0" applyFont="1" applyFill="1" applyBorder="1" applyProtection="1">
      <protection hidden="1"/>
    </xf>
    <xf numFmtId="168" fontId="5" fillId="0" borderId="11" xfId="0" applyNumberFormat="1" applyFont="1" applyFill="1" applyBorder="1" applyProtection="1">
      <protection hidden="1"/>
    </xf>
    <xf numFmtId="168" fontId="5" fillId="0" borderId="12" xfId="0" applyNumberFormat="1" applyFont="1" applyFill="1" applyBorder="1" applyProtection="1">
      <protection hidden="1"/>
    </xf>
    <xf numFmtId="0" fontId="4" fillId="0" borderId="12" xfId="0" applyFont="1" applyFill="1" applyBorder="1" applyAlignment="1" applyProtection="1">
      <alignment horizontal="left"/>
      <protection hidden="1"/>
    </xf>
    <xf numFmtId="0" fontId="6" fillId="0" borderId="12" xfId="0" applyFont="1" applyFill="1" applyBorder="1" applyProtection="1">
      <protection hidden="1"/>
    </xf>
    <xf numFmtId="0" fontId="10" fillId="0" borderId="12" xfId="0" applyFont="1" applyFill="1" applyBorder="1" applyProtection="1">
      <protection hidden="1"/>
    </xf>
    <xf numFmtId="168" fontId="5" fillId="0" borderId="16" xfId="0" applyNumberFormat="1" applyFont="1" applyFill="1" applyBorder="1" applyProtection="1">
      <protection hidden="1"/>
    </xf>
    <xf numFmtId="0" fontId="8" fillId="0" borderId="16" xfId="0" applyFont="1" applyFill="1" applyBorder="1" applyAlignment="1" applyProtection="1">
      <alignment horizontal="center"/>
      <protection hidden="1"/>
    </xf>
    <xf numFmtId="164" fontId="5" fillId="0" borderId="16" xfId="0" applyNumberFormat="1" applyFont="1" applyFill="1" applyBorder="1" applyAlignment="1" applyProtection="1">
      <alignment horizontal="center"/>
      <protection hidden="1"/>
    </xf>
    <xf numFmtId="0" fontId="4" fillId="0" borderId="7" xfId="0" applyFont="1" applyFill="1" applyBorder="1" applyProtection="1">
      <protection hidden="1"/>
    </xf>
    <xf numFmtId="0" fontId="8" fillId="0" borderId="7" xfId="0" applyFont="1" applyFill="1" applyBorder="1" applyAlignment="1" applyProtection="1">
      <alignment horizontal="center"/>
      <protection hidden="1"/>
    </xf>
    <xf numFmtId="164" fontId="5" fillId="0" borderId="7" xfId="0" applyNumberFormat="1" applyFont="1" applyFill="1" applyBorder="1" applyAlignment="1" applyProtection="1">
      <alignment horizontal="center"/>
      <protection hidden="1"/>
    </xf>
    <xf numFmtId="8" fontId="4" fillId="0" borderId="1" xfId="0" applyNumberFormat="1" applyFont="1" applyFill="1" applyBorder="1" applyAlignment="1" applyProtection="1">
      <alignment horizontal="center"/>
      <protection hidden="1"/>
    </xf>
    <xf numFmtId="0" fontId="5" fillId="0" borderId="14" xfId="0" applyNumberFormat="1" applyFont="1" applyFill="1" applyBorder="1" applyProtection="1">
      <protection hidden="1"/>
    </xf>
    <xf numFmtId="0" fontId="5" fillId="0" borderId="14" xfId="0" applyFont="1" applyFill="1" applyBorder="1" applyAlignment="1" applyProtection="1">
      <alignment horizontal="center"/>
      <protection hidden="1"/>
    </xf>
    <xf numFmtId="0" fontId="16" fillId="0" borderId="14" xfId="0" applyFont="1" applyFill="1" applyBorder="1" applyProtection="1">
      <protection hidden="1"/>
    </xf>
    <xf numFmtId="0" fontId="5" fillId="0" borderId="8" xfId="0" applyFont="1" applyFill="1" applyBorder="1" applyAlignment="1" applyProtection="1">
      <alignment horizontal="left"/>
      <protection hidden="1"/>
    </xf>
    <xf numFmtId="0" fontId="5" fillId="0" borderId="10" xfId="0" applyFont="1" applyFill="1" applyBorder="1" applyAlignment="1" applyProtection="1">
      <alignment horizontal="left"/>
      <protection hidden="1"/>
    </xf>
    <xf numFmtId="0" fontId="5" fillId="0" borderId="13" xfId="0" applyFont="1" applyFill="1" applyBorder="1" applyAlignment="1" applyProtection="1">
      <alignment horizontal="left"/>
      <protection hidden="1"/>
    </xf>
    <xf numFmtId="0" fontId="5" fillId="0" borderId="2" xfId="1" applyNumberFormat="1" applyFont="1" applyFill="1" applyBorder="1" applyAlignment="1" applyProtection="1">
      <alignment horizontal="left"/>
      <protection hidden="1"/>
    </xf>
    <xf numFmtId="0" fontId="5" fillId="0" borderId="3" xfId="1" applyNumberFormat="1" applyFont="1" applyFill="1" applyBorder="1" applyAlignment="1" applyProtection="1">
      <alignment horizontal="left"/>
      <protection hidden="1"/>
    </xf>
    <xf numFmtId="0" fontId="5" fillId="0" borderId="3" xfId="0" applyFont="1" applyFill="1" applyBorder="1" applyProtection="1">
      <protection hidden="1"/>
    </xf>
    <xf numFmtId="0" fontId="5" fillId="0" borderId="3" xfId="0" applyFont="1" applyFill="1" applyBorder="1" applyAlignment="1" applyProtection="1">
      <alignment horizontal="left"/>
      <protection hidden="1"/>
    </xf>
    <xf numFmtId="0" fontId="8" fillId="0" borderId="3" xfId="0" applyFont="1" applyFill="1" applyBorder="1" applyProtection="1">
      <protection hidden="1"/>
    </xf>
    <xf numFmtId="0" fontId="5" fillId="0" borderId="3" xfId="0" applyFont="1" applyFill="1" applyBorder="1" applyAlignment="1" applyProtection="1">
      <alignment horizontal="center"/>
      <protection hidden="1"/>
    </xf>
    <xf numFmtId="0" fontId="16" fillId="0" borderId="1" xfId="1" applyNumberFormat="1" applyFont="1" applyFill="1" applyBorder="1" applyAlignment="1" applyProtection="1">
      <alignment horizontal="left"/>
      <protection hidden="1"/>
    </xf>
    <xf numFmtId="164" fontId="5" fillId="0" borderId="1" xfId="0" applyNumberFormat="1" applyFont="1" applyFill="1" applyBorder="1" applyAlignment="1" applyProtection="1">
      <protection hidden="1"/>
    </xf>
    <xf numFmtId="0" fontId="5" fillId="0" borderId="0" xfId="0" applyFont="1" applyFill="1" applyBorder="1" applyProtection="1">
      <protection hidden="1"/>
    </xf>
    <xf numFmtId="165" fontId="5" fillId="0" borderId="0" xfId="1" applyFont="1" applyFill="1" applyBorder="1" applyAlignment="1" applyProtection="1">
      <alignment horizontal="left"/>
      <protection hidden="1"/>
    </xf>
    <xf numFmtId="164" fontId="5" fillId="0" borderId="0" xfId="1" applyNumberFormat="1" applyFont="1" applyFill="1" applyBorder="1" applyAlignment="1" applyProtection="1">
      <alignment horizontal="center"/>
      <protection hidden="1"/>
    </xf>
    <xf numFmtId="0" fontId="5" fillId="0" borderId="0" xfId="0" applyFont="1" applyFill="1" applyBorder="1" applyAlignment="1" applyProtection="1">
      <alignment horizontal="center"/>
      <protection hidden="1"/>
    </xf>
    <xf numFmtId="0" fontId="5" fillId="0" borderId="0" xfId="1" applyNumberFormat="1" applyFont="1" applyFill="1" applyBorder="1" applyProtection="1">
      <protection hidden="1"/>
    </xf>
    <xf numFmtId="0" fontId="10" fillId="0" borderId="0" xfId="0" applyFont="1" applyFill="1" applyBorder="1" applyProtection="1">
      <protection hidden="1"/>
    </xf>
    <xf numFmtId="0" fontId="5" fillId="0" borderId="0" xfId="1" applyNumberFormat="1" applyFont="1" applyFill="1" applyBorder="1" applyAlignment="1" applyProtection="1">
      <alignment horizontal="left"/>
      <protection hidden="1"/>
    </xf>
    <xf numFmtId="0" fontId="4" fillId="0" borderId="0" xfId="1" applyNumberFormat="1" applyFont="1" applyFill="1" applyBorder="1" applyAlignment="1" applyProtection="1">
      <alignment horizontal="left"/>
      <protection hidden="1"/>
    </xf>
    <xf numFmtId="0" fontId="16" fillId="0" borderId="0" xfId="0" applyFont="1" applyFill="1" applyBorder="1" applyProtection="1">
      <protection hidden="1"/>
    </xf>
    <xf numFmtId="0" fontId="17" fillId="0" borderId="0" xfId="0" applyFont="1" applyFill="1" applyBorder="1" applyAlignment="1" applyProtection="1">
      <alignment wrapText="1"/>
      <protection hidden="1"/>
    </xf>
    <xf numFmtId="165" fontId="4" fillId="0" borderId="0" xfId="1" applyFont="1" applyFill="1" applyBorder="1" applyAlignment="1" applyProtection="1">
      <alignment horizontal="center"/>
      <protection hidden="1"/>
    </xf>
    <xf numFmtId="165" fontId="16" fillId="0" borderId="0" xfId="1" applyFont="1" applyFill="1" applyBorder="1" applyProtection="1">
      <protection hidden="1"/>
    </xf>
    <xf numFmtId="165" fontId="0" fillId="0" borderId="0" xfId="1" applyFont="1" applyFill="1" applyBorder="1" applyProtection="1">
      <protection hidden="1"/>
    </xf>
    <xf numFmtId="0" fontId="18" fillId="4" borderId="18" xfId="11" applyFont="1" applyFill="1" applyBorder="1"/>
    <xf numFmtId="0" fontId="5" fillId="3" borderId="0" xfId="11" applyFont="1" applyFill="1"/>
    <xf numFmtId="1" fontId="5" fillId="3" borderId="0" xfId="11" applyNumberFormat="1" applyFont="1" applyFill="1"/>
    <xf numFmtId="169" fontId="5" fillId="3" borderId="0" xfId="11" applyNumberFormat="1" applyFont="1" applyFill="1"/>
    <xf numFmtId="164" fontId="5" fillId="3" borderId="0" xfId="11" applyNumberFormat="1" applyFont="1" applyFill="1"/>
    <xf numFmtId="2" fontId="5" fillId="3" borderId="0" xfId="11" applyNumberFormat="1" applyFont="1" applyFill="1"/>
    <xf numFmtId="14" fontId="5" fillId="3" borderId="0" xfId="11" applyNumberFormat="1" applyFont="1" applyFill="1"/>
    <xf numFmtId="49" fontId="12" fillId="0" borderId="1" xfId="0" applyNumberFormat="1" applyFont="1" applyFill="1" applyBorder="1" applyAlignment="1" applyProtection="1">
      <alignment horizontal="left" wrapText="1"/>
      <protection hidden="1"/>
    </xf>
    <xf numFmtId="0" fontId="0" fillId="0" borderId="4" xfId="0" applyFont="1" applyFill="1" applyBorder="1" applyProtection="1">
      <protection hidden="1"/>
    </xf>
    <xf numFmtId="0" fontId="0" fillId="0" borderId="14" xfId="0" applyFont="1" applyFill="1" applyBorder="1" applyProtection="1">
      <protection hidden="1"/>
    </xf>
    <xf numFmtId="0" fontId="4" fillId="0" borderId="1" xfId="1" applyNumberFormat="1" applyFont="1" applyFill="1" applyBorder="1" applyAlignment="1" applyProtection="1">
      <alignment horizontal="left"/>
      <protection hidden="1"/>
    </xf>
    <xf numFmtId="165" fontId="5" fillId="0" borderId="2" xfId="1" applyFont="1" applyFill="1" applyBorder="1" applyProtection="1">
      <protection hidden="1"/>
    </xf>
    <xf numFmtId="0" fontId="0" fillId="0" borderId="2" xfId="0" applyFont="1" applyFill="1" applyBorder="1" applyProtection="1">
      <protection hidden="1"/>
    </xf>
    <xf numFmtId="0" fontId="17" fillId="0" borderId="6" xfId="0" applyFont="1" applyFill="1" applyBorder="1" applyAlignment="1" applyProtection="1">
      <alignment wrapText="1"/>
      <protection hidden="1"/>
    </xf>
    <xf numFmtId="165" fontId="4" fillId="0" borderId="8" xfId="1" applyFont="1" applyFill="1" applyBorder="1" applyAlignment="1" applyProtection="1">
      <alignment horizontal="center"/>
      <protection hidden="1"/>
    </xf>
    <xf numFmtId="164" fontId="18" fillId="0" borderId="1" xfId="0" applyNumberFormat="1" applyFont="1" applyFill="1" applyBorder="1" applyProtection="1">
      <protection hidden="1"/>
    </xf>
    <xf numFmtId="164" fontId="10" fillId="0" borderId="1" xfId="0" applyNumberFormat="1" applyFont="1" applyFill="1" applyBorder="1" applyProtection="1">
      <protection hidden="1"/>
    </xf>
    <xf numFmtId="0" fontId="5" fillId="0" borderId="9" xfId="1" applyNumberFormat="1" applyFont="1" applyFill="1" applyBorder="1" applyProtection="1">
      <protection hidden="1"/>
    </xf>
    <xf numFmtId="0" fontId="5" fillId="0" borderId="11" xfId="1" applyNumberFormat="1" applyFont="1" applyFill="1" applyBorder="1" applyAlignment="1" applyProtection="1">
      <alignment horizontal="left"/>
      <protection hidden="1"/>
    </xf>
    <xf numFmtId="0" fontId="5" fillId="0" borderId="12" xfId="1" applyNumberFormat="1" applyFont="1" applyFill="1" applyBorder="1" applyAlignment="1" applyProtection="1">
      <alignment horizontal="left"/>
      <protection hidden="1"/>
    </xf>
    <xf numFmtId="165" fontId="8" fillId="0" borderId="12" xfId="1" applyFont="1" applyFill="1" applyBorder="1" applyProtection="1">
      <protection hidden="1"/>
    </xf>
    <xf numFmtId="0" fontId="4" fillId="0" borderId="9" xfId="1" applyNumberFormat="1" applyFont="1" applyFill="1" applyBorder="1" applyAlignment="1" applyProtection="1">
      <alignment horizontal="left"/>
      <protection hidden="1"/>
    </xf>
    <xf numFmtId="0" fontId="0" fillId="0" borderId="12" xfId="0" applyFont="1" applyFill="1" applyBorder="1" applyProtection="1">
      <protection hidden="1"/>
    </xf>
    <xf numFmtId="0" fontId="0" fillId="0" borderId="10" xfId="0" applyFont="1" applyFill="1" applyBorder="1" applyProtection="1">
      <protection hidden="1"/>
    </xf>
    <xf numFmtId="0" fontId="5" fillId="0" borderId="7" xfId="1" applyNumberFormat="1" applyFont="1" applyFill="1" applyBorder="1" applyAlignment="1" applyProtection="1">
      <alignment horizontal="left"/>
      <protection hidden="1"/>
    </xf>
    <xf numFmtId="0" fontId="5" fillId="0" borderId="11" xfId="0" applyFont="1" applyFill="1" applyBorder="1" applyProtection="1">
      <protection hidden="1"/>
    </xf>
    <xf numFmtId="0" fontId="4" fillId="0" borderId="6" xfId="0" applyFont="1" applyFill="1" applyBorder="1" applyAlignment="1" applyProtection="1">
      <alignment horizontal="left"/>
      <protection hidden="1"/>
    </xf>
    <xf numFmtId="0" fontId="0" fillId="0" borderId="13" xfId="0" applyFont="1" applyFill="1" applyBorder="1" applyProtection="1">
      <protection hidden="1"/>
    </xf>
    <xf numFmtId="164" fontId="28" fillId="0" borderId="1" xfId="0" applyNumberFormat="1" applyFont="1" applyFill="1" applyBorder="1" applyProtection="1">
      <protection hidden="1"/>
    </xf>
    <xf numFmtId="0" fontId="28" fillId="0" borderId="1" xfId="0" applyFont="1" applyFill="1" applyBorder="1" applyProtection="1">
      <protection hidden="1"/>
    </xf>
    <xf numFmtId="0" fontId="28" fillId="0" borderId="1" xfId="0" applyFont="1" applyFill="1" applyBorder="1" applyAlignment="1" applyProtection="1">
      <alignment horizontal="right"/>
      <protection hidden="1"/>
    </xf>
    <xf numFmtId="49" fontId="29" fillId="0" borderId="1" xfId="0" applyNumberFormat="1" applyFont="1" applyFill="1" applyBorder="1" applyAlignment="1" applyProtection="1">
      <alignment horizontal="center" wrapText="1"/>
      <protection hidden="1"/>
    </xf>
    <xf numFmtId="0" fontId="30" fillId="0" borderId="1" xfId="0" applyFont="1" applyFill="1" applyBorder="1" applyProtection="1">
      <protection hidden="1"/>
    </xf>
    <xf numFmtId="164" fontId="30" fillId="0" borderId="1" xfId="0" applyNumberFormat="1" applyFont="1" applyFill="1" applyBorder="1" applyProtection="1">
      <protection hidden="1"/>
    </xf>
    <xf numFmtId="0" fontId="31" fillId="0" borderId="1" xfId="0" applyFont="1" applyFill="1" applyBorder="1" applyProtection="1">
      <protection hidden="1"/>
    </xf>
    <xf numFmtId="164" fontId="31" fillId="0" borderId="1" xfId="0" applyNumberFormat="1" applyFont="1" applyFill="1" applyBorder="1" applyProtection="1">
      <protection hidden="1"/>
    </xf>
    <xf numFmtId="0" fontId="0" fillId="0" borderId="0" xfId="0" applyFont="1" applyFill="1" applyBorder="1" applyProtection="1">
      <protection hidden="1"/>
    </xf>
    <xf numFmtId="0" fontId="4" fillId="0" borderId="0" xfId="0" applyFont="1" applyFill="1" applyBorder="1" applyProtection="1">
      <protection hidden="1"/>
    </xf>
    <xf numFmtId="0" fontId="5" fillId="0" borderId="0" xfId="0" applyNumberFormat="1" applyFont="1" applyFill="1" applyBorder="1" applyProtection="1">
      <protection hidden="1"/>
    </xf>
    <xf numFmtId="0" fontId="5" fillId="0" borderId="0" xfId="0" applyFont="1" applyFill="1" applyBorder="1" applyAlignment="1" applyProtection="1">
      <alignment horizontal="left"/>
      <protection hidden="1"/>
    </xf>
    <xf numFmtId="0" fontId="4" fillId="0" borderId="0" xfId="0" applyNumberFormat="1" applyFont="1" applyFill="1" applyBorder="1" applyAlignment="1" applyProtection="1">
      <alignment horizontal="left"/>
      <protection hidden="1"/>
    </xf>
    <xf numFmtId="0" fontId="4" fillId="0" borderId="0" xfId="0" applyFont="1" applyFill="1" applyBorder="1" applyAlignment="1" applyProtection="1">
      <alignment horizontal="center"/>
      <protection hidden="1"/>
    </xf>
    <xf numFmtId="0" fontId="6" fillId="0" borderId="0" xfId="0" applyFont="1" applyFill="1" applyBorder="1" applyAlignment="1" applyProtection="1">
      <alignment horizontal="center" wrapText="1"/>
      <protection hidden="1"/>
    </xf>
    <xf numFmtId="0" fontId="4" fillId="0" borderId="0" xfId="0" applyNumberFormat="1" applyFont="1" applyFill="1" applyBorder="1" applyAlignment="1" applyProtection="1">
      <alignment horizontal="center" wrapText="1"/>
      <protection hidden="1"/>
    </xf>
    <xf numFmtId="0" fontId="4" fillId="0" borderId="0" xfId="0" applyFont="1" applyFill="1" applyBorder="1" applyAlignment="1" applyProtection="1">
      <alignment horizontal="center" wrapText="1"/>
      <protection hidden="1"/>
    </xf>
    <xf numFmtId="0" fontId="4" fillId="0" borderId="0" xfId="0" applyFont="1" applyFill="1" applyBorder="1" applyAlignment="1" applyProtection="1">
      <alignment horizontal="left"/>
      <protection hidden="1"/>
    </xf>
    <xf numFmtId="0" fontId="8" fillId="0" borderId="0" xfId="0" applyFont="1" applyFill="1" applyBorder="1" applyAlignment="1" applyProtection="1">
      <alignment horizontal="center"/>
      <protection hidden="1"/>
    </xf>
    <xf numFmtId="49" fontId="5" fillId="0" borderId="0" xfId="0" applyNumberFormat="1" applyFont="1" applyFill="1" applyBorder="1" applyAlignment="1" applyProtection="1">
      <alignment horizontal="center"/>
      <protection hidden="1"/>
    </xf>
    <xf numFmtId="164" fontId="5" fillId="0" borderId="0" xfId="0" applyNumberFormat="1" applyFont="1" applyFill="1" applyBorder="1" applyAlignment="1" applyProtection="1">
      <alignment horizontal="center"/>
      <protection hidden="1"/>
    </xf>
    <xf numFmtId="164" fontId="5" fillId="0" borderId="0" xfId="0" applyNumberFormat="1" applyFont="1" applyFill="1" applyBorder="1" applyAlignment="1" applyProtection="1">
      <alignment horizontal="left"/>
      <protection hidden="1"/>
    </xf>
    <xf numFmtId="164" fontId="5" fillId="0" borderId="0" xfId="0" applyNumberFormat="1" applyFont="1" applyFill="1" applyBorder="1" applyProtection="1">
      <protection hidden="1"/>
    </xf>
    <xf numFmtId="0" fontId="5" fillId="0" borderId="0" xfId="0" applyFont="1" applyFill="1" applyBorder="1" applyAlignment="1" applyProtection="1">
      <alignment horizontal="left" wrapText="1"/>
      <protection hidden="1"/>
    </xf>
    <xf numFmtId="164" fontId="11" fillId="0" borderId="0" xfId="0" applyNumberFormat="1" applyFont="1" applyFill="1" applyBorder="1" applyAlignment="1" applyProtection="1">
      <alignment horizontal="left"/>
      <protection hidden="1"/>
    </xf>
    <xf numFmtId="164" fontId="0" fillId="0" borderId="0" xfId="0" applyNumberFormat="1" applyFont="1" applyFill="1" applyBorder="1" applyAlignment="1" applyProtection="1">
      <alignment horizontal="right"/>
      <protection hidden="1"/>
    </xf>
    <xf numFmtId="164" fontId="0" fillId="0" borderId="0" xfId="0" applyNumberFormat="1" applyFont="1" applyFill="1" applyBorder="1" applyAlignment="1" applyProtection="1">
      <alignment horizontal="left"/>
      <protection hidden="1"/>
    </xf>
    <xf numFmtId="164" fontId="0" fillId="0" borderId="0" xfId="0" applyNumberFormat="1" applyFont="1" applyFill="1" applyBorder="1" applyProtection="1">
      <protection hidden="1"/>
    </xf>
    <xf numFmtId="164" fontId="5" fillId="0" borderId="0" xfId="0" applyNumberFormat="1" applyFont="1" applyFill="1" applyBorder="1" applyAlignment="1" applyProtection="1">
      <protection hidden="1"/>
    </xf>
    <xf numFmtId="1" fontId="5" fillId="0" borderId="0" xfId="0" applyNumberFormat="1" applyFont="1" applyFill="1" applyBorder="1" applyAlignment="1" applyProtection="1">
      <alignment horizontal="center"/>
      <protection hidden="1"/>
    </xf>
    <xf numFmtId="49" fontId="12" fillId="0" borderId="0" xfId="0" applyNumberFormat="1" applyFont="1" applyFill="1" applyBorder="1" applyAlignment="1" applyProtection="1">
      <alignment horizontal="center" wrapText="1"/>
      <protection hidden="1"/>
    </xf>
    <xf numFmtId="0" fontId="18" fillId="0" borderId="0" xfId="0" applyFont="1" applyFill="1" applyBorder="1" applyProtection="1">
      <protection hidden="1"/>
    </xf>
    <xf numFmtId="0" fontId="16" fillId="0" borderId="0" xfId="1" applyNumberFormat="1" applyFont="1" applyFill="1" applyBorder="1" applyAlignment="1" applyProtection="1">
      <alignment horizontal="left"/>
      <protection hidden="1"/>
    </xf>
    <xf numFmtId="0" fontId="8" fillId="0" borderId="0" xfId="0" applyFont="1" applyFill="1" applyBorder="1" applyProtection="1">
      <protection hidden="1"/>
    </xf>
    <xf numFmtId="0" fontId="4" fillId="0" borderId="0" xfId="1" applyNumberFormat="1" applyFont="1" applyFill="1" applyBorder="1" applyProtection="1">
      <protection hidden="1"/>
    </xf>
    <xf numFmtId="0" fontId="15" fillId="0" borderId="0" xfId="1" applyNumberFormat="1" applyFont="1" applyFill="1" applyBorder="1" applyProtection="1">
      <protection hidden="1"/>
    </xf>
    <xf numFmtId="165" fontId="8" fillId="0" borderId="0" xfId="1" applyFont="1" applyFill="1" applyBorder="1" applyProtection="1">
      <protection hidden="1"/>
    </xf>
    <xf numFmtId="0" fontId="15" fillId="0" borderId="0" xfId="0" applyFont="1" applyFill="1" applyBorder="1" applyAlignment="1" applyProtection="1">
      <alignment horizontal="left"/>
      <protection hidden="1"/>
    </xf>
    <xf numFmtId="168" fontId="5" fillId="0" borderId="0" xfId="0" applyNumberFormat="1" applyFont="1" applyFill="1" applyBorder="1" applyProtection="1">
      <protection hidden="1"/>
    </xf>
    <xf numFmtId="0" fontId="6" fillId="0" borderId="0" xfId="0" applyFont="1" applyFill="1" applyBorder="1" applyProtection="1">
      <protection hidden="1"/>
    </xf>
    <xf numFmtId="8" fontId="4" fillId="0" borderId="0" xfId="0" applyNumberFormat="1" applyFont="1" applyFill="1" applyBorder="1" applyAlignment="1" applyProtection="1">
      <alignment horizontal="center"/>
      <protection hidden="1"/>
    </xf>
    <xf numFmtId="165" fontId="4" fillId="0" borderId="0" xfId="1" applyFont="1" applyFill="1" applyBorder="1" applyAlignment="1" applyProtection="1">
      <alignment horizontal="left"/>
      <protection hidden="1"/>
    </xf>
    <xf numFmtId="166" fontId="5" fillId="0" borderId="0" xfId="1" applyNumberFormat="1" applyFont="1" applyFill="1" applyBorder="1" applyProtection="1">
      <protection hidden="1"/>
    </xf>
    <xf numFmtId="165" fontId="4" fillId="0" borderId="0" xfId="1" applyFont="1" applyFill="1" applyBorder="1" applyProtection="1">
      <protection hidden="1"/>
    </xf>
    <xf numFmtId="165" fontId="17" fillId="0" borderId="0" xfId="1" applyFont="1" applyFill="1" applyBorder="1" applyAlignment="1" applyProtection="1">
      <alignment horizontal="center" wrapText="1"/>
      <protection hidden="1"/>
    </xf>
    <xf numFmtId="165" fontId="16" fillId="0" borderId="0" xfId="1" applyFont="1" applyFill="1" applyBorder="1" applyAlignment="1" applyProtection="1">
      <alignment horizontal="left"/>
      <protection hidden="1"/>
    </xf>
    <xf numFmtId="0" fontId="16" fillId="0" borderId="0" xfId="0" applyFont="1" applyFill="1" applyBorder="1" applyAlignment="1" applyProtection="1">
      <alignment horizontal="center"/>
      <protection hidden="1"/>
    </xf>
    <xf numFmtId="0" fontId="16" fillId="0" borderId="0" xfId="1" applyNumberFormat="1" applyFont="1" applyFill="1" applyBorder="1" applyProtection="1">
      <protection hidden="1"/>
    </xf>
    <xf numFmtId="165" fontId="8" fillId="0" borderId="0" xfId="1" applyFont="1" applyFill="1" applyBorder="1" applyAlignment="1" applyProtection="1">
      <alignment horizontal="center"/>
      <protection hidden="1"/>
    </xf>
    <xf numFmtId="167" fontId="5" fillId="0" borderId="0" xfId="1" applyNumberFormat="1" applyFont="1" applyFill="1" applyBorder="1" applyProtection="1">
      <protection hidden="1"/>
    </xf>
    <xf numFmtId="0" fontId="5" fillId="0" borderId="0" xfId="2" applyFont="1" applyFill="1" applyBorder="1" applyAlignment="1" applyProtection="1">
      <alignment horizontal="left"/>
      <protection hidden="1"/>
    </xf>
    <xf numFmtId="2" fontId="16" fillId="0" borderId="0" xfId="2" applyNumberFormat="1" applyFont="1" applyFill="1" applyBorder="1" applyAlignment="1" applyProtection="1">
      <alignment horizontal="center"/>
      <protection hidden="1"/>
    </xf>
    <xf numFmtId="2" fontId="5" fillId="0" borderId="0" xfId="2" applyNumberFormat="1" applyFont="1" applyFill="1" applyBorder="1" applyAlignment="1" applyProtection="1">
      <alignment horizontal="center"/>
      <protection hidden="1"/>
    </xf>
    <xf numFmtId="168" fontId="5" fillId="0" borderId="0" xfId="0" applyNumberFormat="1" applyFont="1" applyFill="1" applyBorder="1" applyAlignment="1" applyProtection="1">
      <alignment horizontal="left"/>
      <protection hidden="1"/>
    </xf>
    <xf numFmtId="2" fontId="17" fillId="0" borderId="0" xfId="2" applyNumberFormat="1" applyFont="1" applyFill="1" applyBorder="1" applyAlignment="1" applyProtection="1">
      <alignment horizontal="center"/>
      <protection hidden="1"/>
    </xf>
    <xf numFmtId="2" fontId="4" fillId="0" borderId="0" xfId="2" applyNumberFormat="1" applyFont="1" applyFill="1" applyBorder="1" applyAlignment="1" applyProtection="1">
      <alignment horizontal="center"/>
      <protection hidden="1"/>
    </xf>
    <xf numFmtId="0" fontId="4" fillId="0" borderId="0" xfId="2" applyFont="1" applyFill="1" applyBorder="1" applyProtection="1">
      <protection hidden="1"/>
    </xf>
    <xf numFmtId="0" fontId="16" fillId="0" borderId="0" xfId="0" applyFont="1" applyFill="1" applyBorder="1" applyAlignment="1" applyProtection="1">
      <protection hidden="1"/>
    </xf>
    <xf numFmtId="0" fontId="5" fillId="0" borderId="0" xfId="0" applyFont="1" applyFill="1" applyBorder="1" applyAlignment="1" applyProtection="1">
      <protection hidden="1"/>
    </xf>
    <xf numFmtId="0" fontId="5" fillId="0" borderId="0" xfId="2" applyFont="1" applyFill="1" applyBorder="1" applyProtection="1">
      <protection hidden="1"/>
    </xf>
    <xf numFmtId="168" fontId="16" fillId="0" borderId="0" xfId="0" applyNumberFormat="1" applyFont="1" applyFill="1" applyBorder="1" applyAlignment="1" applyProtection="1">
      <protection hidden="1"/>
    </xf>
    <xf numFmtId="0" fontId="4" fillId="0" borderId="0" xfId="0" applyFont="1" applyBorder="1" applyAlignment="1">
      <alignment horizontal="left" vertical="center"/>
    </xf>
    <xf numFmtId="0" fontId="5" fillId="0" borderId="0" xfId="0" applyFont="1" applyBorder="1" applyAlignment="1">
      <alignment horizontal="left" vertical="center"/>
    </xf>
    <xf numFmtId="0" fontId="15" fillId="0" borderId="0" xfId="1" applyNumberFormat="1" applyFont="1" applyFill="1" applyBorder="1" applyAlignment="1" applyProtection="1">
      <alignment horizontal="left"/>
      <protection hidden="1"/>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14" fontId="0" fillId="0" borderId="0" xfId="0" applyNumberFormat="1"/>
    <xf numFmtId="164" fontId="32" fillId="0" borderId="0" xfId="0" applyNumberFormat="1" applyFont="1" applyFill="1" applyBorder="1" applyAlignment="1" applyProtection="1">
      <alignment horizontal="center"/>
      <protection hidden="1"/>
    </xf>
    <xf numFmtId="49" fontId="5" fillId="0" borderId="0" xfId="0" applyNumberFormat="1" applyFont="1" applyFill="1" applyBorder="1" applyAlignment="1" applyProtection="1">
      <alignment wrapText="1"/>
      <protection hidden="1"/>
    </xf>
    <xf numFmtId="167" fontId="5" fillId="0" borderId="0" xfId="0" applyNumberFormat="1" applyFont="1" applyFill="1" applyBorder="1" applyAlignment="1" applyProtection="1">
      <alignment horizontal="center"/>
      <protection hidden="1"/>
    </xf>
    <xf numFmtId="167" fontId="5" fillId="0" borderId="0" xfId="0" applyNumberFormat="1" applyFont="1" applyFill="1" applyBorder="1" applyAlignment="1" applyProtection="1">
      <alignment horizontal="left"/>
      <protection hidden="1"/>
    </xf>
    <xf numFmtId="167" fontId="5" fillId="0" borderId="0" xfId="0" applyNumberFormat="1" applyFont="1" applyFill="1" applyBorder="1" applyAlignment="1" applyProtection="1">
      <protection hidden="1"/>
    </xf>
    <xf numFmtId="0" fontId="0" fillId="0" borderId="0" xfId="0" applyFont="1" applyFill="1" applyBorder="1" applyAlignment="1" applyProtection="1">
      <alignment horizontal="right"/>
      <protection hidden="1"/>
    </xf>
    <xf numFmtId="49" fontId="12" fillId="0" borderId="0" xfId="0" applyNumberFormat="1" applyFont="1" applyFill="1" applyBorder="1" applyAlignment="1" applyProtection="1">
      <alignment horizontal="left" wrapText="1"/>
      <protection hidden="1"/>
    </xf>
    <xf numFmtId="164" fontId="10" fillId="0" borderId="0" xfId="0" applyNumberFormat="1" applyFont="1" applyFill="1" applyBorder="1" applyProtection="1">
      <protection hidden="1"/>
    </xf>
    <xf numFmtId="164" fontId="18" fillId="0" borderId="0" xfId="0" applyNumberFormat="1" applyFont="1" applyFill="1" applyBorder="1" applyProtection="1">
      <protection hidden="1"/>
    </xf>
    <xf numFmtId="167" fontId="5" fillId="0" borderId="0" xfId="0" applyNumberFormat="1" applyFont="1" applyFill="1" applyBorder="1" applyProtection="1">
      <protection hidden="1"/>
    </xf>
    <xf numFmtId="0" fontId="32" fillId="0" borderId="0" xfId="0" applyFont="1" applyFill="1" applyBorder="1" applyProtection="1">
      <protection hidden="1"/>
    </xf>
    <xf numFmtId="0" fontId="0" fillId="5" borderId="0" xfId="0" applyFont="1" applyFill="1" applyBorder="1" applyProtection="1">
      <protection hidden="1"/>
    </xf>
    <xf numFmtId="0" fontId="5" fillId="5" borderId="0" xfId="0" applyFont="1" applyFill="1" applyBorder="1" applyProtection="1">
      <protection hidden="1"/>
    </xf>
    <xf numFmtId="164" fontId="0" fillId="5" borderId="0" xfId="0" applyNumberFormat="1" applyFont="1" applyFill="1" applyBorder="1" applyProtection="1">
      <protection hidden="1"/>
    </xf>
    <xf numFmtId="0" fontId="4" fillId="5" borderId="0" xfId="0" applyFont="1" applyFill="1" applyBorder="1" applyAlignment="1" applyProtection="1">
      <alignment horizontal="center" wrapText="1"/>
      <protection hidden="1"/>
    </xf>
    <xf numFmtId="0" fontId="4" fillId="5" borderId="0" xfId="0" applyFont="1" applyFill="1" applyBorder="1" applyAlignment="1" applyProtection="1">
      <alignment horizontal="left"/>
      <protection hidden="1"/>
    </xf>
    <xf numFmtId="0" fontId="4" fillId="5" borderId="0" xfId="0" applyFont="1" applyFill="1" applyBorder="1" applyAlignment="1" applyProtection="1">
      <alignment horizontal="center"/>
      <protection hidden="1"/>
    </xf>
    <xf numFmtId="167" fontId="5" fillId="5" borderId="0" xfId="0" applyNumberFormat="1" applyFont="1" applyFill="1" applyBorder="1" applyProtection="1">
      <protection hidden="1"/>
    </xf>
    <xf numFmtId="49" fontId="5" fillId="5" borderId="0" xfId="0" applyNumberFormat="1" applyFont="1" applyFill="1" applyBorder="1" applyAlignment="1" applyProtection="1">
      <alignment horizontal="left" wrapText="1"/>
      <protection hidden="1"/>
    </xf>
    <xf numFmtId="0" fontId="5" fillId="5" borderId="0" xfId="0" applyFont="1" applyFill="1" applyBorder="1" applyAlignment="1" applyProtection="1">
      <alignment horizontal="center"/>
      <protection hidden="1"/>
    </xf>
    <xf numFmtId="0" fontId="10" fillId="5" borderId="0" xfId="0" applyFont="1" applyFill="1" applyBorder="1" applyProtection="1">
      <protection hidden="1"/>
    </xf>
    <xf numFmtId="0" fontId="0" fillId="5" borderId="0" xfId="0" applyFill="1"/>
    <xf numFmtId="164" fontId="5" fillId="5" borderId="0" xfId="0" applyNumberFormat="1" applyFont="1" applyFill="1" applyBorder="1" applyProtection="1">
      <protection hidden="1"/>
    </xf>
    <xf numFmtId="0" fontId="5" fillId="6" borderId="0" xfId="0" applyFont="1" applyFill="1" applyBorder="1" applyProtection="1">
      <protection hidden="1"/>
    </xf>
    <xf numFmtId="165" fontId="15" fillId="0" borderId="0" xfId="1" applyFont="1" applyFill="1" applyBorder="1" applyAlignment="1" applyProtection="1">
      <alignment horizontal="left"/>
      <protection hidden="1"/>
    </xf>
    <xf numFmtId="0" fontId="16" fillId="5" borderId="0" xfId="0" applyFont="1" applyFill="1" applyBorder="1" applyProtection="1">
      <protection hidden="1"/>
    </xf>
    <xf numFmtId="164" fontId="16" fillId="5" borderId="0" xfId="0" applyNumberFormat="1" applyFont="1" applyFill="1" applyBorder="1" applyProtection="1">
      <protection hidden="1"/>
    </xf>
    <xf numFmtId="164" fontId="16" fillId="0" borderId="0" xfId="0" applyNumberFormat="1" applyFont="1" applyFill="1" applyBorder="1" applyProtection="1">
      <protection hidden="1"/>
    </xf>
    <xf numFmtId="167" fontId="16" fillId="0" borderId="0" xfId="0" applyNumberFormat="1" applyFont="1" applyFill="1" applyBorder="1" applyProtection="1">
      <protection hidden="1"/>
    </xf>
    <xf numFmtId="0" fontId="17" fillId="0" borderId="0" xfId="0" applyFont="1" applyFill="1" applyBorder="1" applyProtection="1">
      <protection hidden="1"/>
    </xf>
    <xf numFmtId="0" fontId="16" fillId="5" borderId="0" xfId="0" applyFont="1" applyFill="1"/>
    <xf numFmtId="164" fontId="8" fillId="5" borderId="0" xfId="0" applyNumberFormat="1" applyFont="1" applyFill="1" applyBorder="1" applyProtection="1">
      <protection hidden="1"/>
    </xf>
    <xf numFmtId="164" fontId="17" fillId="5" borderId="0" xfId="0" applyNumberFormat="1" applyFont="1" applyFill="1" applyBorder="1" applyProtection="1">
      <protection hidden="1"/>
    </xf>
    <xf numFmtId="164" fontId="17" fillId="0" borderId="0" xfId="0" applyNumberFormat="1" applyFont="1" applyFill="1" applyBorder="1" applyProtection="1">
      <protection hidden="1"/>
    </xf>
    <xf numFmtId="164" fontId="8" fillId="0" borderId="0" xfId="0" applyNumberFormat="1" applyFont="1" applyFill="1" applyBorder="1" applyProtection="1">
      <protection hidden="1"/>
    </xf>
    <xf numFmtId="0" fontId="8" fillId="5" borderId="0" xfId="0" applyFont="1" applyFill="1" applyBorder="1" applyProtection="1">
      <protection hidden="1"/>
    </xf>
    <xf numFmtId="165" fontId="4" fillId="0" borderId="0" xfId="1" applyFont="1" applyFill="1" applyBorder="1" applyAlignment="1" applyProtection="1">
      <alignment horizontal="center" wrapText="1"/>
      <protection hidden="1"/>
    </xf>
    <xf numFmtId="0" fontId="33" fillId="0" borderId="0" xfId="1" applyNumberFormat="1" applyFont="1" applyFill="1" applyBorder="1" applyProtection="1">
      <protection hidden="1"/>
    </xf>
    <xf numFmtId="165" fontId="34" fillId="0" borderId="0" xfId="1" applyFont="1" applyFill="1" applyBorder="1" applyProtection="1">
      <protection hidden="1"/>
    </xf>
    <xf numFmtId="165" fontId="34" fillId="0" borderId="0" xfId="1" applyFont="1" applyFill="1" applyBorder="1" applyAlignment="1" applyProtection="1">
      <alignment horizontal="left"/>
      <protection hidden="1"/>
    </xf>
    <xf numFmtId="0" fontId="34" fillId="0" borderId="0" xfId="0" applyFont="1" applyFill="1" applyBorder="1" applyAlignment="1" applyProtection="1">
      <alignment horizontal="center"/>
      <protection hidden="1"/>
    </xf>
    <xf numFmtId="164" fontId="0" fillId="5" borderId="0" xfId="0" applyNumberFormat="1" applyFont="1" applyFill="1" applyBorder="1" applyAlignment="1" applyProtection="1">
      <alignment horizontal="left"/>
      <protection hidden="1"/>
    </xf>
    <xf numFmtId="0" fontId="5" fillId="5" borderId="0" xfId="0" applyFont="1" applyFill="1" applyBorder="1" applyAlignment="1" applyProtection="1">
      <alignment horizontal="left"/>
      <protection hidden="1"/>
    </xf>
    <xf numFmtId="0" fontId="0" fillId="5" borderId="0" xfId="0" applyFont="1" applyFill="1" applyBorder="1" applyAlignment="1" applyProtection="1">
      <alignment horizontal="left"/>
      <protection hidden="1"/>
    </xf>
    <xf numFmtId="0" fontId="14" fillId="5" borderId="0" xfId="0" applyFont="1" applyFill="1" applyBorder="1" applyProtection="1">
      <protection hidden="1"/>
    </xf>
    <xf numFmtId="164" fontId="0" fillId="5" borderId="0" xfId="0" applyNumberFormat="1" applyFont="1" applyFill="1" applyBorder="1" applyAlignment="1" applyProtection="1">
      <alignment horizontal="center"/>
      <protection hidden="1"/>
    </xf>
    <xf numFmtId="0" fontId="0" fillId="5" borderId="0" xfId="0" applyFont="1" applyFill="1" applyBorder="1" applyAlignment="1" applyProtection="1">
      <alignment horizontal="center"/>
      <protection hidden="1"/>
    </xf>
    <xf numFmtId="0" fontId="14" fillId="0" borderId="0" xfId="1" applyNumberFormat="1" applyFont="1" applyFill="1" applyBorder="1" applyProtection="1">
      <protection hidden="1"/>
    </xf>
    <xf numFmtId="0" fontId="14" fillId="0" borderId="0" xfId="0" applyFont="1" applyFill="1" applyBorder="1" applyProtection="1">
      <protection hidden="1"/>
    </xf>
    <xf numFmtId="0" fontId="14" fillId="0" borderId="0" xfId="0" applyFont="1" applyFill="1" applyBorder="1" applyAlignment="1" applyProtection="1">
      <alignment horizontal="left"/>
      <protection hidden="1"/>
    </xf>
    <xf numFmtId="0" fontId="15" fillId="0" borderId="0" xfId="0" applyFont="1" applyFill="1" applyBorder="1" applyProtection="1">
      <protection hidden="1"/>
    </xf>
    <xf numFmtId="168" fontId="15" fillId="0" borderId="0" xfId="0" applyNumberFormat="1" applyFont="1" applyFill="1" applyBorder="1" applyProtection="1">
      <protection hidden="1"/>
    </xf>
    <xf numFmtId="10" fontId="0" fillId="5" borderId="0" xfId="12" applyNumberFormat="1" applyFont="1" applyFill="1" applyBorder="1" applyAlignment="1" applyProtection="1">
      <alignment horizontal="center"/>
      <protection hidden="1"/>
    </xf>
    <xf numFmtId="167" fontId="0" fillId="5" borderId="0" xfId="0" applyNumberFormat="1" applyFont="1" applyFill="1" applyBorder="1" applyAlignment="1" applyProtection="1">
      <alignment horizontal="center"/>
      <protection hidden="1"/>
    </xf>
    <xf numFmtId="167" fontId="0" fillId="5" borderId="0" xfId="0" applyNumberFormat="1" applyFont="1" applyFill="1" applyBorder="1" applyProtection="1">
      <protection hidden="1"/>
    </xf>
    <xf numFmtId="167" fontId="5" fillId="5" borderId="0" xfId="0" applyNumberFormat="1" applyFont="1" applyFill="1" applyBorder="1" applyAlignment="1" applyProtection="1">
      <alignment horizontal="center"/>
      <protection hidden="1"/>
    </xf>
    <xf numFmtId="167" fontId="0" fillId="5" borderId="0" xfId="0" applyNumberFormat="1" applyFont="1" applyFill="1" applyBorder="1" applyAlignment="1" applyProtection="1">
      <alignment horizontal="right"/>
      <protection hidden="1"/>
    </xf>
    <xf numFmtId="167" fontId="0" fillId="6" borderId="0" xfId="0" applyNumberFormat="1" applyFont="1" applyFill="1" applyBorder="1" applyProtection="1">
      <protection hidden="1"/>
    </xf>
    <xf numFmtId="167" fontId="18" fillId="5" borderId="0" xfId="0" applyNumberFormat="1" applyFont="1" applyFill="1" applyBorder="1" applyProtection="1">
      <protection hidden="1"/>
    </xf>
    <xf numFmtId="167" fontId="10" fillId="5" borderId="0" xfId="0" applyNumberFormat="1" applyFont="1" applyFill="1" applyBorder="1" applyProtection="1">
      <protection hidden="1"/>
    </xf>
    <xf numFmtId="170" fontId="0" fillId="0" borderId="0" xfId="0" applyNumberFormat="1"/>
    <xf numFmtId="167" fontId="0" fillId="0" borderId="0" xfId="0" applyNumberFormat="1"/>
    <xf numFmtId="0" fontId="0" fillId="0" borderId="0" xfId="0" applyAlignment="1">
      <alignment horizontal="center"/>
    </xf>
    <xf numFmtId="167" fontId="0" fillId="0" borderId="0" xfId="0" applyNumberFormat="1" applyFill="1"/>
    <xf numFmtId="0" fontId="36" fillId="0" borderId="0" xfId="0" applyFont="1"/>
    <xf numFmtId="14" fontId="0" fillId="0" borderId="0" xfId="0" applyNumberFormat="1" applyAlignment="1">
      <alignment horizontal="center"/>
    </xf>
    <xf numFmtId="0" fontId="37" fillId="0" borderId="0" xfId="13"/>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0" fillId="0" borderId="0" xfId="0" applyAlignment="1">
      <alignment horizontal="left" vertical="top" indent="1"/>
    </xf>
    <xf numFmtId="0" fontId="0" fillId="0" borderId="0" xfId="0" applyAlignment="1">
      <alignment horizontal="left" vertical="top" indent="2"/>
    </xf>
    <xf numFmtId="167" fontId="0" fillId="7" borderId="0" xfId="0" applyNumberFormat="1" applyFont="1" applyFill="1" applyBorder="1" applyProtection="1">
      <protection hidden="1"/>
    </xf>
    <xf numFmtId="170" fontId="8" fillId="0" borderId="0" xfId="0" applyNumberFormat="1" applyFont="1" applyFill="1" applyBorder="1" applyProtection="1">
      <protection hidden="1"/>
    </xf>
    <xf numFmtId="167" fontId="0" fillId="8" borderId="0" xfId="0" applyNumberFormat="1" applyFont="1" applyFill="1" applyBorder="1" applyProtection="1">
      <protection hidden="1"/>
    </xf>
    <xf numFmtId="167" fontId="0" fillId="0" borderId="0" xfId="0" applyNumberFormat="1" applyFont="1" applyFill="1" applyBorder="1" applyProtection="1">
      <protection hidden="1"/>
    </xf>
    <xf numFmtId="170" fontId="0" fillId="0" borderId="0" xfId="0" applyNumberFormat="1" applyFont="1" applyFill="1" applyBorder="1" applyProtection="1">
      <protection hidden="1"/>
    </xf>
    <xf numFmtId="164" fontId="38" fillId="5" borderId="0" xfId="0" applyNumberFormat="1" applyFont="1" applyFill="1" applyBorder="1" applyAlignment="1" applyProtection="1">
      <alignment horizontal="left"/>
      <protection hidden="1"/>
    </xf>
    <xf numFmtId="167" fontId="5" fillId="7" borderId="0" xfId="0" applyNumberFormat="1" applyFont="1" applyFill="1" applyBorder="1" applyAlignment="1" applyProtection="1">
      <alignment horizontal="right"/>
      <protection hidden="1"/>
    </xf>
    <xf numFmtId="49" fontId="5" fillId="11" borderId="0" xfId="0" applyNumberFormat="1" applyFont="1" applyFill="1" applyBorder="1" applyAlignment="1" applyProtection="1">
      <alignment horizontal="center"/>
      <protection hidden="1"/>
    </xf>
    <xf numFmtId="0" fontId="5" fillId="11" borderId="0" xfId="0" applyFont="1" applyFill="1" applyBorder="1" applyAlignment="1" applyProtection="1">
      <alignment horizontal="center"/>
      <protection hidden="1"/>
    </xf>
    <xf numFmtId="0" fontId="5" fillId="11" borderId="0" xfId="0" applyFont="1" applyFill="1" applyBorder="1" applyAlignment="1" applyProtection="1">
      <alignment horizontal="left"/>
      <protection hidden="1"/>
    </xf>
    <xf numFmtId="167" fontId="5" fillId="11" borderId="0" xfId="0" applyNumberFormat="1" applyFont="1" applyFill="1" applyBorder="1" applyAlignment="1" applyProtection="1">
      <alignment horizontal="center"/>
      <protection hidden="1"/>
    </xf>
    <xf numFmtId="167" fontId="5" fillId="10" borderId="0" xfId="0" applyNumberFormat="1" applyFont="1" applyFill="1" applyBorder="1" applyAlignment="1" applyProtection="1">
      <alignment horizontal="right"/>
      <protection hidden="1"/>
    </xf>
    <xf numFmtId="164" fontId="5" fillId="11" borderId="0" xfId="0" applyNumberFormat="1" applyFont="1" applyFill="1" applyBorder="1" applyAlignment="1" applyProtection="1">
      <alignment horizontal="center"/>
      <protection hidden="1"/>
    </xf>
    <xf numFmtId="0" fontId="2" fillId="0" borderId="0" xfId="15"/>
    <xf numFmtId="0" fontId="2" fillId="0" borderId="0" xfId="15" applyAlignment="1">
      <alignment horizontal="center"/>
    </xf>
    <xf numFmtId="167" fontId="2" fillId="0" borderId="0" xfId="15" applyNumberFormat="1" applyAlignment="1">
      <alignment horizontal="center"/>
    </xf>
    <xf numFmtId="0" fontId="4" fillId="0" borderId="0" xfId="15" applyFont="1" applyAlignment="1" applyProtection="1">
      <alignment horizontal="center"/>
      <protection hidden="1"/>
    </xf>
    <xf numFmtId="167" fontId="4" fillId="0" borderId="0" xfId="15" applyNumberFormat="1" applyFont="1" applyAlignment="1" applyProtection="1">
      <alignment horizontal="center"/>
      <protection hidden="1"/>
    </xf>
    <xf numFmtId="0" fontId="2" fillId="0" borderId="0" xfId="15" applyBorder="1"/>
    <xf numFmtId="0" fontId="2" fillId="0" borderId="0" xfId="15" applyNumberFormat="1" applyBorder="1" applyAlignment="1">
      <alignment horizontal="center"/>
    </xf>
    <xf numFmtId="0" fontId="12" fillId="0" borderId="0" xfId="2" applyFont="1" applyBorder="1" applyAlignment="1" applyProtection="1">
      <alignment horizontal="center" wrapText="1"/>
      <protection hidden="1"/>
    </xf>
    <xf numFmtId="0" fontId="4" fillId="0" borderId="0" xfId="15" applyFont="1" applyBorder="1" applyAlignment="1" applyProtection="1">
      <alignment horizontal="center"/>
      <protection hidden="1"/>
    </xf>
    <xf numFmtId="0" fontId="39" fillId="0" borderId="0" xfId="15" applyFont="1" applyAlignment="1">
      <alignment horizontal="center"/>
    </xf>
    <xf numFmtId="0" fontId="2" fillId="0" borderId="0" xfId="15" applyBorder="1" applyAlignment="1">
      <alignment horizontal="center"/>
    </xf>
    <xf numFmtId="171" fontId="2" fillId="0" borderId="0" xfId="15" applyNumberFormat="1" applyAlignment="1">
      <alignment horizontal="center"/>
    </xf>
    <xf numFmtId="167" fontId="39" fillId="0" borderId="0" xfId="15" applyNumberFormat="1" applyFont="1" applyBorder="1" applyAlignment="1">
      <alignment horizontal="center"/>
    </xf>
    <xf numFmtId="167" fontId="2" fillId="0" borderId="0" xfId="15" applyNumberFormat="1" applyBorder="1" applyAlignment="1">
      <alignment horizontal="center"/>
    </xf>
    <xf numFmtId="167" fontId="4" fillId="0" borderId="0" xfId="15" applyNumberFormat="1" applyFont="1" applyBorder="1" applyAlignment="1" applyProtection="1">
      <alignment horizontal="center"/>
      <protection hidden="1"/>
    </xf>
    <xf numFmtId="0" fontId="40" fillId="0" borderId="0" xfId="15" applyFont="1" applyAlignment="1">
      <alignment horizontal="center"/>
    </xf>
    <xf numFmtId="0" fontId="39" fillId="11" borderId="0" xfId="15" applyFont="1" applyFill="1" applyAlignment="1">
      <alignment horizontal="center"/>
    </xf>
    <xf numFmtId="0" fontId="2" fillId="12" borderId="19" xfId="15" applyFill="1" applyBorder="1" applyAlignment="1">
      <alignment horizontal="center"/>
    </xf>
    <xf numFmtId="167" fontId="2" fillId="12" borderId="19" xfId="15" applyNumberFormat="1" applyFill="1" applyBorder="1" applyAlignment="1">
      <alignment horizontal="center"/>
    </xf>
    <xf numFmtId="0" fontId="2" fillId="12" borderId="0" xfId="15" applyFill="1" applyBorder="1"/>
    <xf numFmtId="167" fontId="2" fillId="12" borderId="0" xfId="15" applyNumberFormat="1" applyFill="1" applyBorder="1" applyAlignment="1">
      <alignment horizontal="center"/>
    </xf>
    <xf numFmtId="167" fontId="5" fillId="12" borderId="19" xfId="15" applyNumberFormat="1" applyFont="1" applyFill="1" applyBorder="1" applyAlignment="1" applyProtection="1">
      <alignment horizontal="center"/>
      <protection hidden="1"/>
    </xf>
    <xf numFmtId="0" fontId="2" fillId="12" borderId="0" xfId="15" applyFill="1"/>
    <xf numFmtId="167" fontId="39" fillId="12" borderId="19" xfId="15" applyNumberFormat="1" applyFont="1" applyFill="1" applyBorder="1" applyAlignment="1">
      <alignment horizontal="center"/>
    </xf>
    <xf numFmtId="0" fontId="39" fillId="8" borderId="0" xfId="15" applyFont="1" applyFill="1" applyAlignment="1">
      <alignment horizontal="center"/>
    </xf>
    <xf numFmtId="0" fontId="1" fillId="0" borderId="0" xfId="15" quotePrefix="1" applyFont="1" applyAlignment="1">
      <alignment horizontal="center"/>
    </xf>
    <xf numFmtId="10" fontId="1" fillId="0" borderId="0" xfId="15" quotePrefix="1" applyNumberFormat="1" applyFont="1" applyAlignment="1">
      <alignment horizontal="center"/>
    </xf>
    <xf numFmtId="0" fontId="1" fillId="0" borderId="0" xfId="15" applyFont="1" applyAlignment="1">
      <alignment horizontal="center"/>
    </xf>
    <xf numFmtId="167" fontId="1" fillId="0" borderId="0" xfId="15" applyNumberFormat="1" applyFont="1" applyAlignment="1">
      <alignment horizontal="center"/>
    </xf>
    <xf numFmtId="0" fontId="4" fillId="0" borderId="15" xfId="0" applyFont="1" applyFill="1" applyBorder="1" applyAlignment="1" applyProtection="1">
      <alignment horizontal="center" wrapText="1"/>
      <protection hidden="1"/>
    </xf>
    <xf numFmtId="0" fontId="4" fillId="0" borderId="15" xfId="0" applyFont="1" applyFill="1" applyBorder="1" applyAlignment="1" applyProtection="1">
      <alignment horizontal="left"/>
      <protection hidden="1"/>
    </xf>
    <xf numFmtId="0" fontId="4" fillId="0" borderId="15" xfId="0" applyFont="1" applyFill="1" applyBorder="1" applyAlignment="1" applyProtection="1">
      <alignment horizontal="center"/>
      <protection hidden="1"/>
    </xf>
    <xf numFmtId="0" fontId="5" fillId="0" borderId="0" xfId="1" applyNumberFormat="1" applyFont="1" applyAlignment="1" applyProtection="1">
      <alignment horizontal="left"/>
      <protection hidden="1"/>
    </xf>
    <xf numFmtId="0" fontId="4" fillId="0" borderId="0" xfId="1" applyNumberFormat="1" applyFont="1" applyProtection="1">
      <protection hidden="1"/>
    </xf>
    <xf numFmtId="0" fontId="5" fillId="0" borderId="0" xfId="0" applyFont="1" applyProtection="1">
      <protection hidden="1"/>
    </xf>
    <xf numFmtId="0" fontId="5" fillId="0" borderId="0" xfId="0" applyFont="1" applyAlignment="1" applyProtection="1">
      <alignment horizontal="left"/>
      <protection hidden="1"/>
    </xf>
    <xf numFmtId="0" fontId="5" fillId="0" borderId="0" xfId="0" applyFont="1" applyAlignment="1" applyProtection="1">
      <alignment horizontal="center"/>
      <protection hidden="1"/>
    </xf>
    <xf numFmtId="0" fontId="4" fillId="0" borderId="0" xfId="1" applyNumberFormat="1" applyFont="1" applyAlignment="1" applyProtection="1">
      <alignment horizontal="left"/>
      <protection hidden="1"/>
    </xf>
    <xf numFmtId="0" fontId="5" fillId="0" borderId="0" xfId="0" applyFont="1" applyAlignment="1" applyProtection="1">
      <alignment horizontal="right"/>
      <protection hidden="1"/>
    </xf>
    <xf numFmtId="0" fontId="5" fillId="0" borderId="0" xfId="1" applyNumberFormat="1" applyFont="1" applyProtection="1">
      <protection hidden="1"/>
    </xf>
    <xf numFmtId="0" fontId="5" fillId="0" borderId="0" xfId="0" applyFont="1" applyFill="1" applyAlignment="1" applyProtection="1">
      <alignment horizontal="left"/>
      <protection hidden="1"/>
    </xf>
    <xf numFmtId="0" fontId="5" fillId="0" borderId="0" xfId="0" applyFont="1" applyFill="1" applyProtection="1">
      <protection hidden="1"/>
    </xf>
    <xf numFmtId="0" fontId="5" fillId="0" borderId="0" xfId="0" applyFont="1" applyFill="1" applyAlignment="1" applyProtection="1">
      <alignment horizontal="center"/>
      <protection hidden="1"/>
    </xf>
    <xf numFmtId="0" fontId="15" fillId="0" borderId="0" xfId="1" applyNumberFormat="1" applyFont="1" applyProtection="1">
      <protection hidden="1"/>
    </xf>
    <xf numFmtId="0" fontId="15" fillId="0" borderId="0" xfId="0" applyFont="1" applyProtection="1">
      <protection hidden="1"/>
    </xf>
    <xf numFmtId="0" fontId="5" fillId="0" borderId="0" xfId="1" applyNumberFormat="1" applyFont="1" applyAlignment="1" applyProtection="1">
      <protection hidden="1"/>
    </xf>
    <xf numFmtId="0" fontId="15" fillId="0" borderId="0" xfId="0" applyFont="1" applyAlignment="1" applyProtection="1">
      <alignment horizontal="left"/>
      <protection hidden="1"/>
    </xf>
    <xf numFmtId="168" fontId="15" fillId="0" borderId="0" xfId="0" applyNumberFormat="1" applyFont="1" applyProtection="1">
      <protection hidden="1"/>
    </xf>
    <xf numFmtId="165" fontId="5" fillId="0" borderId="0" xfId="1" applyFont="1" applyAlignment="1" applyProtection="1">
      <alignment horizontal="left"/>
      <protection hidden="1"/>
    </xf>
    <xf numFmtId="165" fontId="5" fillId="0" borderId="0" xfId="1" applyFont="1" applyProtection="1">
      <protection hidden="1"/>
    </xf>
    <xf numFmtId="164" fontId="5" fillId="0" borderId="0" xfId="0" quotePrefix="1" applyNumberFormat="1" applyFont="1" applyFill="1" applyBorder="1" applyAlignment="1" applyProtection="1">
      <alignment horizontal="left"/>
      <protection hidden="1"/>
    </xf>
    <xf numFmtId="0" fontId="5" fillId="0" borderId="0" xfId="14" applyNumberFormat="1" applyFont="1" applyFill="1" applyBorder="1" applyAlignment="1" applyProtection="1">
      <alignment horizontal="center"/>
      <protection hidden="1"/>
    </xf>
    <xf numFmtId="165" fontId="5" fillId="0" borderId="0" xfId="1" applyFont="1" applyFill="1" applyBorder="1" applyAlignment="1" applyProtection="1">
      <alignment horizontal="center"/>
      <protection hidden="1"/>
    </xf>
    <xf numFmtId="168" fontId="5" fillId="0" borderId="0" xfId="0" applyNumberFormat="1" applyFont="1" applyFill="1" applyBorder="1" applyAlignment="1" applyProtection="1">
      <protection hidden="1"/>
    </xf>
    <xf numFmtId="0" fontId="4" fillId="0" borderId="0" xfId="0" applyFont="1" applyAlignment="1" applyProtection="1">
      <alignment horizontal="left"/>
      <protection hidden="1"/>
    </xf>
    <xf numFmtId="0" fontId="5" fillId="0" borderId="0" xfId="2" applyFont="1" applyAlignment="1" applyProtection="1">
      <alignment horizontal="left"/>
      <protection hidden="1"/>
    </xf>
    <xf numFmtId="167" fontId="5" fillId="0" borderId="0" xfId="0" applyNumberFormat="1" applyFont="1" applyAlignment="1" applyProtection="1">
      <alignment horizontal="right" indent="1"/>
      <protection hidden="1"/>
    </xf>
    <xf numFmtId="0" fontId="14" fillId="0" borderId="0" xfId="0" applyFont="1" applyFill="1" applyProtection="1">
      <protection hidden="1"/>
    </xf>
    <xf numFmtId="0" fontId="4" fillId="0" borderId="0" xfId="2" applyFont="1" applyProtection="1">
      <protection hidden="1"/>
    </xf>
    <xf numFmtId="0" fontId="5" fillId="0" borderId="0" xfId="2" applyFont="1" applyProtection="1">
      <protection hidden="1"/>
    </xf>
    <xf numFmtId="0" fontId="5" fillId="0" borderId="0" xfId="1" applyNumberFormat="1" applyFont="1" applyFill="1" applyAlignment="1" applyProtection="1">
      <alignment horizontal="left"/>
      <protection hidden="1"/>
    </xf>
    <xf numFmtId="165" fontId="5" fillId="0" borderId="0" xfId="1" applyFont="1" applyFill="1" applyAlignment="1" applyProtection="1">
      <alignment horizontal="left"/>
      <protection hidden="1"/>
    </xf>
    <xf numFmtId="170" fontId="5" fillId="0" borderId="0" xfId="0" applyNumberFormat="1" applyFont="1" applyFill="1" applyBorder="1" applyProtection="1">
      <protection hidden="1"/>
    </xf>
    <xf numFmtId="0" fontId="5" fillId="0" borderId="0" xfId="1" applyNumberFormat="1" applyFont="1" applyAlignment="1" applyProtection="1">
      <alignment horizontal="left" indent="5"/>
      <protection hidden="1"/>
    </xf>
    <xf numFmtId="0" fontId="5" fillId="0" borderId="0" xfId="1" applyNumberFormat="1" applyFont="1" applyAlignment="1" applyProtection="1">
      <alignment horizontal="left" indent="8"/>
      <protection hidden="1"/>
    </xf>
    <xf numFmtId="168" fontId="5" fillId="0" borderId="0" xfId="1" applyNumberFormat="1" applyFont="1" applyAlignment="1" applyProtection="1">
      <alignment horizontal="left"/>
      <protection hidden="1"/>
    </xf>
    <xf numFmtId="0" fontId="4" fillId="0" borderId="0" xfId="1" applyNumberFormat="1" applyFont="1" applyFill="1" applyProtection="1">
      <protection hidden="1"/>
    </xf>
    <xf numFmtId="0" fontId="4" fillId="0" borderId="0" xfId="0" applyFont="1" applyFill="1" applyProtection="1">
      <protection hidden="1"/>
    </xf>
    <xf numFmtId="0" fontId="5" fillId="0" borderId="0" xfId="0" applyFont="1" applyFill="1" applyAlignment="1" applyProtection="1">
      <alignment horizontal="left" indent="4"/>
      <protection hidden="1"/>
    </xf>
    <xf numFmtId="0" fontId="42" fillId="13" borderId="0" xfId="0" applyFont="1" applyFill="1" applyAlignment="1" applyProtection="1">
      <alignment horizontal="left"/>
      <protection hidden="1"/>
    </xf>
    <xf numFmtId="0" fontId="41" fillId="0" borderId="0" xfId="1" applyNumberFormat="1" applyFont="1" applyProtection="1">
      <protection hidden="1"/>
    </xf>
    <xf numFmtId="168" fontId="5" fillId="5" borderId="0" xfId="1" applyNumberFormat="1" applyFont="1" applyFill="1" applyAlignment="1" applyProtection="1">
      <alignment horizontal="center"/>
      <protection hidden="1"/>
    </xf>
    <xf numFmtId="10" fontId="5" fillId="5" borderId="0" xfId="12" applyNumberFormat="1" applyFont="1" applyFill="1" applyBorder="1" applyAlignment="1" applyProtection="1">
      <alignment horizontal="center"/>
      <protection hidden="1"/>
    </xf>
    <xf numFmtId="164" fontId="43" fillId="5" borderId="0" xfId="0" applyNumberFormat="1" applyFont="1" applyFill="1" applyBorder="1" applyAlignment="1" applyProtection="1">
      <alignment horizontal="left"/>
      <protection hidden="1"/>
    </xf>
    <xf numFmtId="164" fontId="5" fillId="5" borderId="0" xfId="0" applyNumberFormat="1" applyFont="1" applyFill="1" applyBorder="1" applyAlignment="1" applyProtection="1">
      <alignment horizontal="left"/>
      <protection hidden="1"/>
    </xf>
    <xf numFmtId="170" fontId="5" fillId="5" borderId="0" xfId="0" applyNumberFormat="1" applyFont="1" applyFill="1" applyBorder="1" applyProtection="1">
      <protection hidden="1"/>
    </xf>
    <xf numFmtId="0" fontId="5" fillId="5" borderId="0" xfId="0" applyNumberFormat="1" applyFont="1" applyFill="1" applyBorder="1" applyAlignment="1" applyProtection="1">
      <alignment horizontal="center"/>
      <protection hidden="1"/>
    </xf>
    <xf numFmtId="167" fontId="5" fillId="10" borderId="0" xfId="0" applyNumberFormat="1" applyFont="1" applyFill="1" applyBorder="1" applyProtection="1">
      <protection hidden="1"/>
    </xf>
    <xf numFmtId="164" fontId="5" fillId="5" borderId="0" xfId="0" applyNumberFormat="1" applyFont="1" applyFill="1" applyBorder="1" applyAlignment="1" applyProtection="1">
      <alignment horizontal="center"/>
      <protection hidden="1"/>
    </xf>
    <xf numFmtId="167" fontId="5" fillId="9" borderId="0" xfId="0" applyNumberFormat="1" applyFont="1" applyFill="1" applyBorder="1" applyAlignment="1" applyProtection="1">
      <alignment horizontal="center"/>
      <protection hidden="1"/>
    </xf>
    <xf numFmtId="170" fontId="5" fillId="0" borderId="0" xfId="12" applyNumberFormat="1" applyFont="1" applyFill="1" applyBorder="1" applyProtection="1">
      <protection hidden="1"/>
    </xf>
    <xf numFmtId="167" fontId="5" fillId="11" borderId="0" xfId="0" applyNumberFormat="1" applyFont="1" applyFill="1" applyBorder="1" applyProtection="1">
      <protection hidden="1"/>
    </xf>
    <xf numFmtId="167" fontId="5" fillId="8" borderId="0" xfId="0" applyNumberFormat="1" applyFont="1" applyFill="1" applyBorder="1" applyAlignment="1" applyProtection="1">
      <alignment horizontal="center"/>
      <protection hidden="1"/>
    </xf>
    <xf numFmtId="167" fontId="5" fillId="8" borderId="0" xfId="0" applyNumberFormat="1" applyFont="1" applyFill="1" applyBorder="1" applyProtection="1">
      <protection hidden="1"/>
    </xf>
    <xf numFmtId="167" fontId="5" fillId="7" borderId="0" xfId="0" applyNumberFormat="1" applyFont="1" applyFill="1" applyBorder="1" applyAlignment="1" applyProtection="1">
      <alignment horizontal="center"/>
      <protection hidden="1"/>
    </xf>
    <xf numFmtId="0" fontId="5" fillId="5" borderId="0" xfId="0" applyFont="1" applyFill="1"/>
    <xf numFmtId="167" fontId="4" fillId="5" borderId="0" xfId="0" applyNumberFormat="1" applyFont="1" applyFill="1" applyBorder="1" applyProtection="1">
      <protection hidden="1"/>
    </xf>
    <xf numFmtId="0" fontId="44" fillId="0" borderId="0" xfId="1" applyNumberFormat="1" applyFont="1" applyAlignment="1" applyProtection="1">
      <alignment horizontal="left"/>
      <protection hidden="1"/>
    </xf>
    <xf numFmtId="165" fontId="4" fillId="0" borderId="15" xfId="1" applyFont="1" applyFill="1" applyBorder="1" applyAlignment="1" applyProtection="1">
      <alignment horizontal="center" wrapText="1"/>
      <protection hidden="1"/>
    </xf>
    <xf numFmtId="0" fontId="15" fillId="0" borderId="0" xfId="0" applyFont="1" applyFill="1" applyProtection="1">
      <protection hidden="1"/>
    </xf>
    <xf numFmtId="165" fontId="14" fillId="0" borderId="0" xfId="1" applyFont="1" applyFill="1" applyProtection="1">
      <protection hidden="1"/>
    </xf>
    <xf numFmtId="0" fontId="14" fillId="0" borderId="0" xfId="0" applyFont="1" applyFill="1" applyAlignment="1" applyProtection="1">
      <alignment horizontal="left"/>
      <protection hidden="1"/>
    </xf>
    <xf numFmtId="168" fontId="5" fillId="0" borderId="0" xfId="0" applyNumberFormat="1" applyFont="1" applyProtection="1">
      <protection hidden="1"/>
    </xf>
    <xf numFmtId="0" fontId="4" fillId="0" borderId="0" xfId="0" applyFont="1" applyFill="1" applyAlignment="1">
      <alignment horizontal="left" vertical="center"/>
    </xf>
    <xf numFmtId="0" fontId="5" fillId="0" borderId="0" xfId="0" applyFont="1" applyFill="1" applyAlignment="1">
      <alignment horizontal="left" vertical="center"/>
    </xf>
    <xf numFmtId="164" fontId="15" fillId="0" borderId="0" xfId="0" applyNumberFormat="1" applyFont="1" applyFill="1" applyBorder="1" applyProtection="1">
      <protection hidden="1"/>
    </xf>
    <xf numFmtId="0" fontId="15" fillId="0" borderId="0" xfId="1" applyNumberFormat="1" applyFont="1" applyAlignment="1" applyProtection="1">
      <alignment horizontal="left"/>
      <protection hidden="1"/>
    </xf>
    <xf numFmtId="171" fontId="5" fillId="0" borderId="0" xfId="12" applyNumberFormat="1" applyFont="1" applyFill="1" applyBorder="1" applyAlignment="1" applyProtection="1">
      <alignment horizontal="left"/>
      <protection hidden="1"/>
    </xf>
    <xf numFmtId="168" fontId="5" fillId="0" borderId="0" xfId="1" applyNumberFormat="1" applyFont="1" applyAlignment="1" applyProtection="1">
      <alignment horizontal="center"/>
      <protection hidden="1"/>
    </xf>
    <xf numFmtId="165" fontId="5" fillId="0" borderId="0" xfId="1" applyFont="1" applyAlignment="1" applyProtection="1">
      <alignment horizontal="center"/>
      <protection hidden="1"/>
    </xf>
    <xf numFmtId="0" fontId="5" fillId="0" borderId="0" xfId="2" applyFont="1" applyAlignment="1" applyProtection="1">
      <alignment horizontal="center"/>
      <protection hidden="1"/>
    </xf>
    <xf numFmtId="0" fontId="4" fillId="0" borderId="0" xfId="2" applyFont="1" applyAlignment="1" applyProtection="1">
      <alignment horizontal="center"/>
      <protection hidden="1"/>
    </xf>
    <xf numFmtId="165" fontId="5" fillId="0" borderId="0" xfId="1" applyFont="1" applyFill="1" applyAlignment="1" applyProtection="1">
      <alignment horizontal="center"/>
      <protection hidden="1"/>
    </xf>
    <xf numFmtId="0" fontId="45" fillId="0" borderId="0" xfId="0" applyFont="1" applyFill="1" applyBorder="1" applyProtection="1">
      <protection hidden="1"/>
    </xf>
    <xf numFmtId="0" fontId="46" fillId="0" borderId="0" xfId="0" applyFont="1" applyFill="1" applyBorder="1" applyProtection="1">
      <protection hidden="1"/>
    </xf>
    <xf numFmtId="0" fontId="46" fillId="0" borderId="0" xfId="0" applyFont="1" applyFill="1" applyBorder="1" applyAlignment="1" applyProtection="1">
      <alignment horizontal="left"/>
      <protection hidden="1"/>
    </xf>
    <xf numFmtId="0" fontId="47" fillId="0" borderId="0" xfId="0" applyFont="1" applyFill="1" applyBorder="1" applyProtection="1">
      <protection hidden="1"/>
    </xf>
    <xf numFmtId="0" fontId="46" fillId="0" borderId="0" xfId="0" applyFont="1" applyFill="1" applyBorder="1" applyAlignment="1" applyProtection="1">
      <alignment horizontal="center"/>
      <protection hidden="1"/>
    </xf>
    <xf numFmtId="0" fontId="47" fillId="0" borderId="15" xfId="0" applyFont="1" applyFill="1" applyBorder="1" applyAlignment="1" applyProtection="1">
      <alignment horizontal="center" wrapText="1"/>
      <protection hidden="1"/>
    </xf>
    <xf numFmtId="0" fontId="47" fillId="0" borderId="15" xfId="0" applyFont="1" applyFill="1" applyBorder="1" applyAlignment="1" applyProtection="1">
      <alignment horizontal="left"/>
      <protection hidden="1"/>
    </xf>
    <xf numFmtId="0" fontId="47" fillId="0" borderId="15" xfId="0" applyFont="1" applyFill="1" applyBorder="1" applyAlignment="1" applyProtection="1">
      <alignment horizontal="center"/>
      <protection hidden="1"/>
    </xf>
    <xf numFmtId="167" fontId="46" fillId="0" borderId="0" xfId="0" applyNumberFormat="1" applyFont="1" applyFill="1" applyBorder="1" applyAlignment="1" applyProtection="1">
      <alignment horizontal="center"/>
      <protection hidden="1"/>
    </xf>
    <xf numFmtId="164" fontId="46" fillId="0" borderId="0" xfId="0" applyNumberFormat="1" applyFont="1" applyFill="1" applyBorder="1" applyAlignment="1" applyProtection="1">
      <alignment horizontal="center"/>
      <protection hidden="1"/>
    </xf>
    <xf numFmtId="164" fontId="46" fillId="0" borderId="0" xfId="0" applyNumberFormat="1" applyFont="1" applyFill="1" applyBorder="1" applyAlignment="1" applyProtection="1">
      <alignment horizontal="left"/>
      <protection hidden="1"/>
    </xf>
    <xf numFmtId="167" fontId="46" fillId="0" borderId="0" xfId="0" applyNumberFormat="1" applyFont="1" applyFill="1" applyBorder="1" applyProtection="1">
      <protection hidden="1"/>
    </xf>
    <xf numFmtId="0" fontId="47" fillId="0" borderId="0" xfId="0" applyFont="1" applyAlignment="1" applyProtection="1">
      <alignment horizontal="left"/>
      <protection hidden="1"/>
    </xf>
    <xf numFmtId="0" fontId="47" fillId="0" borderId="0" xfId="1" applyNumberFormat="1" applyFont="1" applyAlignment="1" applyProtection="1">
      <alignment horizontal="left"/>
      <protection hidden="1"/>
    </xf>
    <xf numFmtId="0" fontId="47" fillId="0" borderId="0" xfId="1" applyNumberFormat="1" applyFont="1" applyProtection="1">
      <protection hidden="1"/>
    </xf>
    <xf numFmtId="0" fontId="46" fillId="0" borderId="0" xfId="0" applyFont="1" applyAlignment="1" applyProtection="1">
      <alignment horizontal="right"/>
      <protection hidden="1"/>
    </xf>
    <xf numFmtId="0" fontId="46" fillId="0" borderId="0" xfId="0" applyFont="1" applyAlignment="1" applyProtection="1">
      <alignment horizontal="left"/>
      <protection hidden="1"/>
    </xf>
    <xf numFmtId="0" fontId="46" fillId="0" borderId="0" xfId="0" applyFont="1" applyFill="1" applyAlignment="1" applyProtection="1">
      <alignment horizontal="left"/>
      <protection hidden="1"/>
    </xf>
    <xf numFmtId="0" fontId="46" fillId="0" borderId="0" xfId="0" applyFont="1" applyFill="1" applyProtection="1">
      <protection hidden="1"/>
    </xf>
    <xf numFmtId="0" fontId="46" fillId="0" borderId="0" xfId="0" applyFont="1" applyFill="1" applyAlignment="1" applyProtection="1">
      <alignment horizontal="center"/>
      <protection hidden="1"/>
    </xf>
    <xf numFmtId="0" fontId="49" fillId="0" borderId="0" xfId="1" applyNumberFormat="1" applyFont="1" applyProtection="1">
      <protection hidden="1"/>
    </xf>
    <xf numFmtId="0" fontId="49" fillId="0" borderId="0" xfId="0" applyFont="1" applyProtection="1">
      <protection hidden="1"/>
    </xf>
    <xf numFmtId="0" fontId="46" fillId="0" borderId="0" xfId="1" applyNumberFormat="1" applyFont="1" applyProtection="1">
      <protection hidden="1"/>
    </xf>
    <xf numFmtId="0" fontId="46" fillId="0" borderId="0" xfId="1" applyNumberFormat="1" applyFont="1" applyAlignment="1" applyProtection="1">
      <alignment horizontal="left" indent="5"/>
      <protection hidden="1"/>
    </xf>
    <xf numFmtId="0" fontId="46" fillId="0" borderId="0" xfId="1" applyNumberFormat="1" applyFont="1" applyAlignment="1" applyProtection="1">
      <alignment horizontal="left" indent="8"/>
      <protection hidden="1"/>
    </xf>
    <xf numFmtId="164" fontId="46" fillId="0" borderId="0" xfId="0" applyNumberFormat="1" applyFont="1" applyFill="1" applyBorder="1" applyProtection="1">
      <protection hidden="1"/>
    </xf>
    <xf numFmtId="0" fontId="47" fillId="0" borderId="0" xfId="1" applyNumberFormat="1" applyFont="1" applyFill="1" applyProtection="1">
      <protection hidden="1"/>
    </xf>
    <xf numFmtId="0" fontId="46" fillId="0" borderId="0" xfId="1" applyNumberFormat="1" applyFont="1" applyAlignment="1" applyProtection="1">
      <protection hidden="1"/>
    </xf>
    <xf numFmtId="164" fontId="49" fillId="0" borderId="0" xfId="0" applyNumberFormat="1" applyFont="1" applyFill="1" applyBorder="1" applyProtection="1">
      <protection hidden="1"/>
    </xf>
    <xf numFmtId="0" fontId="49" fillId="0" borderId="0" xfId="0" applyFont="1" applyAlignment="1" applyProtection="1">
      <alignment horizontal="left"/>
      <protection hidden="1"/>
    </xf>
    <xf numFmtId="168" fontId="46" fillId="0" borderId="0" xfId="0" applyNumberFormat="1" applyFont="1" applyProtection="1">
      <protection hidden="1"/>
    </xf>
    <xf numFmtId="168" fontId="49" fillId="0" borderId="0" xfId="0" applyNumberFormat="1" applyFont="1" applyProtection="1">
      <protection hidden="1"/>
    </xf>
    <xf numFmtId="165" fontId="46" fillId="0" borderId="0" xfId="1" applyFont="1" applyAlignment="1" applyProtection="1">
      <alignment horizontal="left"/>
      <protection hidden="1"/>
    </xf>
    <xf numFmtId="0" fontId="46" fillId="0" borderId="0" xfId="1" applyNumberFormat="1" applyFont="1" applyAlignment="1" applyProtection="1">
      <alignment horizontal="left"/>
      <protection hidden="1"/>
    </xf>
    <xf numFmtId="165" fontId="46" fillId="0" borderId="0" xfId="1" applyFont="1" applyAlignment="1" applyProtection="1">
      <alignment horizontal="left" indent="3"/>
      <protection hidden="1"/>
    </xf>
    <xf numFmtId="0" fontId="49" fillId="0" borderId="0" xfId="1" applyNumberFormat="1" applyFont="1" applyAlignment="1" applyProtection="1">
      <alignment horizontal="left"/>
      <protection hidden="1"/>
    </xf>
    <xf numFmtId="167" fontId="46" fillId="0" borderId="0" xfId="0" applyNumberFormat="1" applyFont="1" applyAlignment="1" applyProtection="1">
      <alignment horizontal="right" indent="1"/>
      <protection hidden="1"/>
    </xf>
    <xf numFmtId="0" fontId="46" fillId="0" borderId="0" xfId="1" applyNumberFormat="1" applyFont="1" applyFill="1" applyAlignment="1" applyProtection="1">
      <alignment horizontal="left"/>
      <protection hidden="1"/>
    </xf>
    <xf numFmtId="0" fontId="47" fillId="0" borderId="0" xfId="0" applyFont="1" applyFill="1" applyProtection="1">
      <protection hidden="1"/>
    </xf>
    <xf numFmtId="0" fontId="46" fillId="0" borderId="0" xfId="0" applyFont="1" applyFill="1" applyAlignment="1" applyProtection="1">
      <alignment horizontal="left" indent="4"/>
      <protection hidden="1"/>
    </xf>
    <xf numFmtId="0" fontId="47" fillId="0" borderId="0" xfId="0" applyFont="1" applyFill="1" applyAlignment="1">
      <alignment horizontal="left" vertical="center"/>
    </xf>
    <xf numFmtId="0" fontId="46" fillId="0" borderId="0" xfId="0" applyFont="1" applyFill="1" applyAlignment="1">
      <alignment horizontal="left" vertical="center"/>
    </xf>
    <xf numFmtId="171" fontId="46" fillId="0" borderId="0" xfId="12" applyNumberFormat="1" applyFont="1" applyFill="1" applyBorder="1" applyAlignment="1" applyProtection="1">
      <alignment horizontal="left"/>
      <protection hidden="1"/>
    </xf>
    <xf numFmtId="167" fontId="46" fillId="0" borderId="0" xfId="0" applyNumberFormat="1" applyFont="1" applyFill="1" applyBorder="1" applyAlignment="1" applyProtection="1">
      <alignment horizontal="left"/>
      <protection hidden="1"/>
    </xf>
    <xf numFmtId="164" fontId="51" fillId="0" borderId="0" xfId="0" applyNumberFormat="1" applyFont="1" applyFill="1" applyBorder="1" applyAlignment="1" applyProtection="1">
      <alignment horizontal="left"/>
      <protection hidden="1"/>
    </xf>
    <xf numFmtId="164" fontId="12" fillId="0" borderId="0" xfId="0" applyNumberFormat="1" applyFont="1" applyFill="1" applyBorder="1" applyProtection="1">
      <protection hidden="1"/>
    </xf>
    <xf numFmtId="171" fontId="5" fillId="0" borderId="0" xfId="12" applyNumberFormat="1" applyFont="1" applyFill="1" applyBorder="1" applyAlignment="1" applyProtection="1">
      <alignment horizontal="center"/>
      <protection hidden="1"/>
    </xf>
    <xf numFmtId="0" fontId="4" fillId="0" borderId="0" xfId="1" applyNumberFormat="1" applyFont="1" applyAlignment="1" applyProtection="1">
      <alignment horizontal="center"/>
      <protection hidden="1"/>
    </xf>
    <xf numFmtId="0" fontId="5" fillId="0" borderId="0" xfId="1" applyNumberFormat="1" applyFont="1" applyAlignment="1" applyProtection="1">
      <alignment horizontal="center"/>
      <protection hidden="1"/>
    </xf>
    <xf numFmtId="164" fontId="4" fillId="0" borderId="15" xfId="0" applyNumberFormat="1" applyFont="1" applyFill="1" applyBorder="1" applyAlignment="1" applyProtection="1">
      <alignment horizontal="center" wrapText="1"/>
      <protection hidden="1"/>
    </xf>
    <xf numFmtId="0" fontId="5" fillId="0" borderId="0" xfId="0" applyNumberFormat="1" applyFont="1" applyFill="1" applyBorder="1" applyAlignment="1" applyProtection="1">
      <alignment horizontal="center"/>
      <protection hidden="1"/>
    </xf>
    <xf numFmtId="0" fontId="4" fillId="5" borderId="15" xfId="0" applyFont="1" applyFill="1" applyBorder="1" applyAlignment="1" applyProtection="1">
      <alignment horizontal="center" wrapText="1"/>
      <protection hidden="1"/>
    </xf>
    <xf numFmtId="0" fontId="4" fillId="5" borderId="15" xfId="0" applyFont="1" applyFill="1" applyBorder="1" applyAlignment="1" applyProtection="1">
      <alignment horizontal="left"/>
      <protection hidden="1"/>
    </xf>
    <xf numFmtId="0" fontId="4" fillId="5" borderId="15" xfId="0" applyFont="1" applyFill="1" applyBorder="1" applyAlignment="1" applyProtection="1">
      <alignment horizontal="center"/>
      <protection hidden="1"/>
    </xf>
    <xf numFmtId="0" fontId="5" fillId="5" borderId="0" xfId="0" applyFont="1" applyFill="1" applyProtection="1">
      <protection hidden="1"/>
    </xf>
    <xf numFmtId="0" fontId="14" fillId="5" borderId="0" xfId="0" applyFont="1" applyFill="1" applyProtection="1">
      <protection hidden="1"/>
    </xf>
    <xf numFmtId="167" fontId="5" fillId="5" borderId="0" xfId="0" applyNumberFormat="1" applyFont="1" applyFill="1" applyProtection="1">
      <protection hidden="1"/>
    </xf>
    <xf numFmtId="0" fontId="5" fillId="5" borderId="0" xfId="0" applyFont="1" applyFill="1" applyAlignment="1" applyProtection="1">
      <alignment horizontal="center"/>
      <protection hidden="1"/>
    </xf>
    <xf numFmtId="164" fontId="48" fillId="0" borderId="0" xfId="0" applyNumberFormat="1" applyFont="1" applyFill="1" applyBorder="1" applyAlignment="1" applyProtection="1">
      <alignment horizontal="left"/>
      <protection hidden="1"/>
    </xf>
    <xf numFmtId="0" fontId="46" fillId="5" borderId="0" xfId="0" applyFont="1" applyFill="1" applyBorder="1" applyProtection="1">
      <protection hidden="1"/>
    </xf>
    <xf numFmtId="0" fontId="46" fillId="5" borderId="0" xfId="0" applyFont="1" applyFill="1" applyBorder="1" applyAlignment="1" applyProtection="1">
      <alignment horizontal="center"/>
      <protection hidden="1"/>
    </xf>
    <xf numFmtId="167" fontId="46" fillId="5" borderId="0" xfId="0" applyNumberFormat="1" applyFont="1" applyFill="1" applyBorder="1" applyProtection="1">
      <protection hidden="1"/>
    </xf>
    <xf numFmtId="167" fontId="46" fillId="5" borderId="0" xfId="0" applyNumberFormat="1" applyFont="1" applyFill="1" applyBorder="1" applyAlignment="1" applyProtection="1">
      <alignment horizontal="center"/>
      <protection hidden="1"/>
    </xf>
    <xf numFmtId="0" fontId="47" fillId="5" borderId="0" xfId="0" applyFont="1" applyFill="1" applyBorder="1" applyProtection="1">
      <protection hidden="1"/>
    </xf>
    <xf numFmtId="0" fontId="46" fillId="5" borderId="0" xfId="0" applyFont="1" applyFill="1" applyProtection="1">
      <protection hidden="1"/>
    </xf>
    <xf numFmtId="0" fontId="50" fillId="5" borderId="0" xfId="0" applyFont="1" applyFill="1" applyProtection="1">
      <protection hidden="1"/>
    </xf>
    <xf numFmtId="167" fontId="46" fillId="5" borderId="0" xfId="0" applyNumberFormat="1" applyFont="1" applyFill="1" applyAlignment="1" applyProtection="1">
      <alignment horizontal="center"/>
      <protection hidden="1"/>
    </xf>
    <xf numFmtId="0" fontId="46" fillId="5" borderId="0" xfId="0" applyFont="1" applyFill="1" applyAlignment="1" applyProtection="1">
      <alignment horizontal="center"/>
      <protection hidden="1"/>
    </xf>
    <xf numFmtId="164" fontId="45" fillId="7" borderId="0" xfId="0" applyNumberFormat="1" applyFont="1" applyFill="1" applyBorder="1" applyProtection="1">
      <protection hidden="1"/>
    </xf>
    <xf numFmtId="164" fontId="5" fillId="7" borderId="0" xfId="0" applyNumberFormat="1" applyFont="1" applyFill="1" applyBorder="1" applyAlignment="1" applyProtection="1">
      <alignment horizontal="left"/>
      <protection hidden="1"/>
    </xf>
    <xf numFmtId="164" fontId="5" fillId="7" borderId="0" xfId="0" applyNumberFormat="1" applyFont="1" applyFill="1" applyBorder="1" applyAlignment="1" applyProtection="1">
      <alignment horizontal="center"/>
      <protection hidden="1"/>
    </xf>
    <xf numFmtId="0" fontId="5" fillId="7" borderId="0" xfId="0" applyFont="1" applyFill="1" applyBorder="1" applyAlignment="1" applyProtection="1">
      <alignment horizontal="center"/>
      <protection hidden="1"/>
    </xf>
    <xf numFmtId="0" fontId="5" fillId="7" borderId="0" xfId="0" applyFont="1" applyFill="1" applyBorder="1" applyProtection="1">
      <protection hidden="1"/>
    </xf>
    <xf numFmtId="164" fontId="5" fillId="7" borderId="0" xfId="0" quotePrefix="1" applyNumberFormat="1" applyFont="1" applyFill="1" applyBorder="1" applyAlignment="1" applyProtection="1">
      <alignment horizontal="left"/>
      <protection hidden="1"/>
    </xf>
    <xf numFmtId="171" fontId="5" fillId="7" borderId="0" xfId="12" applyNumberFormat="1" applyFont="1" applyFill="1" applyBorder="1" applyAlignment="1" applyProtection="1">
      <alignment horizontal="left"/>
      <protection hidden="1"/>
    </xf>
    <xf numFmtId="171" fontId="5" fillId="7" borderId="0" xfId="12" applyNumberFormat="1" applyFont="1" applyFill="1" applyBorder="1" applyAlignment="1" applyProtection="1">
      <alignment horizontal="center"/>
      <protection hidden="1"/>
    </xf>
    <xf numFmtId="167" fontId="5" fillId="7" borderId="0" xfId="0" applyNumberFormat="1" applyFont="1" applyFill="1" applyBorder="1" applyAlignment="1" applyProtection="1">
      <alignment horizontal="left"/>
      <protection hidden="1"/>
    </xf>
    <xf numFmtId="164" fontId="5" fillId="7" borderId="0" xfId="0" applyNumberFormat="1" applyFont="1" applyFill="1" applyBorder="1" applyProtection="1">
      <protection hidden="1"/>
    </xf>
    <xf numFmtId="164" fontId="12" fillId="7" borderId="0" xfId="0" applyNumberFormat="1" applyFont="1" applyFill="1" applyBorder="1" applyProtection="1">
      <protection hidden="1"/>
    </xf>
    <xf numFmtId="0" fontId="5" fillId="7" borderId="0" xfId="14" applyNumberFormat="1" applyFont="1" applyFill="1" applyBorder="1" applyAlignment="1" applyProtection="1">
      <alignment horizontal="center"/>
      <protection hidden="1"/>
    </xf>
    <xf numFmtId="0" fontId="4" fillId="7" borderId="15" xfId="0" applyFont="1" applyFill="1" applyBorder="1" applyAlignment="1" applyProtection="1">
      <alignment horizontal="center" wrapText="1"/>
      <protection hidden="1"/>
    </xf>
    <xf numFmtId="0" fontId="4" fillId="7" borderId="15" xfId="0" applyFont="1" applyFill="1" applyBorder="1" applyAlignment="1" applyProtection="1">
      <alignment horizontal="left"/>
      <protection hidden="1"/>
    </xf>
    <xf numFmtId="0" fontId="4" fillId="7" borderId="15" xfId="0" applyFont="1" applyFill="1" applyBorder="1" applyAlignment="1" applyProtection="1">
      <alignment horizontal="center"/>
      <protection hidden="1"/>
    </xf>
    <xf numFmtId="0" fontId="5" fillId="7" borderId="0" xfId="0" applyFont="1" applyFill="1" applyBorder="1" applyAlignment="1" applyProtection="1">
      <alignment horizontal="left"/>
      <protection hidden="1"/>
    </xf>
    <xf numFmtId="0" fontId="4" fillId="7" borderId="0" xfId="0" applyFont="1" applyFill="1" applyAlignment="1" applyProtection="1">
      <alignment horizontal="left"/>
      <protection hidden="1"/>
    </xf>
    <xf numFmtId="0" fontId="4" fillId="7" borderId="0" xfId="1" applyNumberFormat="1" applyFont="1" applyFill="1" applyAlignment="1" applyProtection="1">
      <alignment horizontal="left"/>
      <protection hidden="1"/>
    </xf>
    <xf numFmtId="0" fontId="4" fillId="7" borderId="0" xfId="1" applyNumberFormat="1" applyFont="1" applyFill="1" applyProtection="1">
      <protection hidden="1"/>
    </xf>
    <xf numFmtId="0" fontId="4" fillId="7" borderId="0" xfId="1" applyNumberFormat="1" applyFont="1" applyFill="1" applyAlignment="1" applyProtection="1">
      <alignment horizontal="center"/>
      <protection hidden="1"/>
    </xf>
    <xf numFmtId="0" fontId="5" fillId="7" borderId="0" xfId="0" applyFont="1" applyFill="1" applyAlignment="1" applyProtection="1">
      <alignment horizontal="center"/>
      <protection hidden="1"/>
    </xf>
    <xf numFmtId="0" fontId="5" fillId="7" borderId="0" xfId="0" applyFont="1" applyFill="1" applyAlignment="1" applyProtection="1">
      <alignment horizontal="right"/>
      <protection hidden="1"/>
    </xf>
    <xf numFmtId="0" fontId="5" fillId="7" borderId="0" xfId="0" applyFont="1" applyFill="1" applyAlignment="1" applyProtection="1">
      <alignment horizontal="left"/>
      <protection hidden="1"/>
    </xf>
    <xf numFmtId="0" fontId="15" fillId="7" borderId="0" xfId="1" applyNumberFormat="1" applyFont="1" applyFill="1" applyProtection="1">
      <protection hidden="1"/>
    </xf>
    <xf numFmtId="0" fontId="15" fillId="7" borderId="0" xfId="0" applyFont="1" applyFill="1" applyProtection="1">
      <protection hidden="1"/>
    </xf>
    <xf numFmtId="0" fontId="5" fillId="7" borderId="0" xfId="1" applyNumberFormat="1" applyFont="1" applyFill="1" applyProtection="1">
      <protection hidden="1"/>
    </xf>
    <xf numFmtId="0" fontId="5" fillId="7" borderId="0" xfId="1" applyNumberFormat="1" applyFont="1" applyFill="1" applyAlignment="1" applyProtection="1">
      <alignment horizontal="left" indent="5"/>
      <protection hidden="1"/>
    </xf>
    <xf numFmtId="0" fontId="5" fillId="7" borderId="0" xfId="1" applyNumberFormat="1" applyFont="1" applyFill="1" applyAlignment="1" applyProtection="1">
      <alignment horizontal="left" indent="8"/>
      <protection hidden="1"/>
    </xf>
    <xf numFmtId="0" fontId="5" fillId="7" borderId="0" xfId="0" applyFont="1" applyFill="1" applyProtection="1">
      <protection hidden="1"/>
    </xf>
    <xf numFmtId="0" fontId="5" fillId="7" borderId="0" xfId="1" applyNumberFormat="1" applyFont="1" applyFill="1" applyAlignment="1" applyProtection="1">
      <protection hidden="1"/>
    </xf>
    <xf numFmtId="164" fontId="15" fillId="7" borderId="0" xfId="0" applyNumberFormat="1" applyFont="1" applyFill="1" applyBorder="1" applyProtection="1">
      <protection hidden="1"/>
    </xf>
    <xf numFmtId="0" fontId="15" fillId="7" borderId="0" xfId="0" applyFont="1" applyFill="1" applyAlignment="1" applyProtection="1">
      <alignment horizontal="left"/>
      <protection hidden="1"/>
    </xf>
    <xf numFmtId="168" fontId="5" fillId="7" borderId="0" xfId="0" applyNumberFormat="1" applyFont="1" applyFill="1" applyProtection="1">
      <protection hidden="1"/>
    </xf>
    <xf numFmtId="168" fontId="15" fillId="7" borderId="0" xfId="0" applyNumberFormat="1" applyFont="1" applyFill="1" applyProtection="1">
      <protection hidden="1"/>
    </xf>
    <xf numFmtId="165" fontId="5" fillId="7" borderId="0" xfId="1" applyFont="1" applyFill="1" applyAlignment="1" applyProtection="1">
      <alignment horizontal="left"/>
      <protection hidden="1"/>
    </xf>
    <xf numFmtId="0" fontId="5" fillId="7" borderId="0" xfId="1" applyNumberFormat="1" applyFont="1" applyFill="1" applyAlignment="1" applyProtection="1">
      <alignment horizontal="left"/>
      <protection hidden="1"/>
    </xf>
    <xf numFmtId="165" fontId="5" fillId="7" borderId="0" xfId="1" applyFont="1" applyFill="1" applyAlignment="1" applyProtection="1">
      <alignment horizontal="left" indent="3"/>
      <protection hidden="1"/>
    </xf>
    <xf numFmtId="0" fontId="15" fillId="7" borderId="0" xfId="1" applyNumberFormat="1" applyFont="1" applyFill="1" applyAlignment="1" applyProtection="1">
      <alignment horizontal="left"/>
      <protection hidden="1"/>
    </xf>
    <xf numFmtId="165" fontId="5" fillId="7" borderId="0" xfId="1" applyFont="1" applyFill="1" applyAlignment="1" applyProtection="1">
      <alignment horizontal="center"/>
      <protection hidden="1"/>
    </xf>
    <xf numFmtId="0" fontId="5" fillId="7" borderId="0" xfId="1" applyNumberFormat="1" applyFont="1" applyFill="1" applyAlignment="1" applyProtection="1">
      <alignment horizontal="center"/>
      <protection hidden="1"/>
    </xf>
    <xf numFmtId="167" fontId="5" fillId="7" borderId="0" xfId="0" applyNumberFormat="1" applyFont="1" applyFill="1" applyAlignment="1" applyProtection="1">
      <alignment horizontal="right" indent="1"/>
      <protection hidden="1"/>
    </xf>
    <xf numFmtId="0" fontId="5" fillId="7" borderId="0" xfId="2" applyFont="1" applyFill="1" applyAlignment="1" applyProtection="1">
      <alignment horizontal="center"/>
      <protection hidden="1"/>
    </xf>
    <xf numFmtId="0" fontId="4" fillId="7" borderId="0" xfId="2" applyFont="1" applyFill="1" applyAlignment="1" applyProtection="1">
      <alignment horizontal="center"/>
      <protection hidden="1"/>
    </xf>
    <xf numFmtId="0" fontId="4" fillId="7" borderId="0" xfId="0" applyFont="1" applyFill="1" applyProtection="1">
      <protection hidden="1"/>
    </xf>
    <xf numFmtId="0" fontId="5" fillId="7" borderId="0" xfId="0" applyFont="1" applyFill="1" applyAlignment="1" applyProtection="1">
      <alignment horizontal="left" indent="4"/>
      <protection hidden="1"/>
    </xf>
    <xf numFmtId="0" fontId="4" fillId="7" borderId="0" xfId="0" applyFont="1" applyFill="1" applyAlignment="1">
      <alignment horizontal="left" vertical="center"/>
    </xf>
    <xf numFmtId="0" fontId="5" fillId="7" borderId="0" xfId="0" applyFont="1" applyFill="1" applyAlignment="1">
      <alignment horizontal="left" vertical="center"/>
    </xf>
    <xf numFmtId="0" fontId="45" fillId="7" borderId="0" xfId="0" applyFont="1" applyFill="1" applyBorder="1" applyProtection="1">
      <protection hidden="1"/>
    </xf>
    <xf numFmtId="167" fontId="5" fillId="7" borderId="0" xfId="0" applyNumberFormat="1" applyFont="1" applyFill="1" applyBorder="1" applyProtection="1">
      <protection hidden="1"/>
    </xf>
    <xf numFmtId="164" fontId="51" fillId="7" borderId="0" xfId="0" applyNumberFormat="1" applyFont="1" applyFill="1" applyBorder="1" applyAlignment="1" applyProtection="1">
      <alignment horizontal="left"/>
      <protection hidden="1"/>
    </xf>
    <xf numFmtId="164" fontId="46" fillId="7" borderId="0" xfId="0" applyNumberFormat="1" applyFont="1" applyFill="1" applyBorder="1" applyAlignment="1" applyProtection="1">
      <alignment horizontal="left"/>
      <protection hidden="1"/>
    </xf>
    <xf numFmtId="0" fontId="46" fillId="7" borderId="0" xfId="0" applyFont="1" applyFill="1" applyBorder="1" applyProtection="1">
      <protection hidden="1"/>
    </xf>
    <xf numFmtId="171" fontId="46" fillId="7" borderId="0" xfId="12" applyNumberFormat="1" applyFont="1" applyFill="1" applyBorder="1" applyAlignment="1" applyProtection="1">
      <alignment horizontal="left"/>
      <protection hidden="1"/>
    </xf>
    <xf numFmtId="167" fontId="46" fillId="7" borderId="0" xfId="0" applyNumberFormat="1" applyFont="1" applyFill="1" applyBorder="1" applyAlignment="1" applyProtection="1">
      <alignment horizontal="left"/>
      <protection hidden="1"/>
    </xf>
    <xf numFmtId="164" fontId="46" fillId="7" borderId="0" xfId="0" applyNumberFormat="1" applyFont="1" applyFill="1" applyBorder="1" applyProtection="1">
      <protection hidden="1"/>
    </xf>
    <xf numFmtId="164" fontId="48" fillId="7" borderId="0" xfId="0" applyNumberFormat="1" applyFont="1" applyFill="1" applyBorder="1" applyAlignment="1" applyProtection="1">
      <alignment horizontal="left"/>
      <protection hidden="1"/>
    </xf>
    <xf numFmtId="164" fontId="46" fillId="7" borderId="0" xfId="0" applyNumberFormat="1" applyFont="1" applyFill="1" applyBorder="1" applyAlignment="1" applyProtection="1">
      <alignment horizontal="center"/>
      <protection hidden="1"/>
    </xf>
    <xf numFmtId="0" fontId="47" fillId="7" borderId="15" xfId="0" applyFont="1" applyFill="1" applyBorder="1" applyAlignment="1" applyProtection="1">
      <alignment horizontal="center" wrapText="1"/>
      <protection hidden="1"/>
    </xf>
    <xf numFmtId="0" fontId="47" fillId="7" borderId="15" xfId="0" applyFont="1" applyFill="1" applyBorder="1" applyAlignment="1" applyProtection="1">
      <alignment horizontal="left"/>
      <protection hidden="1"/>
    </xf>
    <xf numFmtId="0" fontId="47" fillId="7" borderId="15" xfId="0" applyFont="1" applyFill="1" applyBorder="1" applyAlignment="1" applyProtection="1">
      <alignment horizontal="center"/>
      <protection hidden="1"/>
    </xf>
    <xf numFmtId="0" fontId="46" fillId="7" borderId="0" xfId="0" applyFont="1" applyFill="1" applyBorder="1" applyAlignment="1" applyProtection="1">
      <alignment horizontal="center"/>
      <protection hidden="1"/>
    </xf>
    <xf numFmtId="0" fontId="46" fillId="7" borderId="0" xfId="0" applyFont="1" applyFill="1" applyBorder="1" applyAlignment="1" applyProtection="1">
      <alignment horizontal="left"/>
      <protection hidden="1"/>
    </xf>
    <xf numFmtId="167" fontId="46" fillId="7" borderId="0" xfId="0" applyNumberFormat="1" applyFont="1" applyFill="1" applyBorder="1" applyProtection="1">
      <protection hidden="1"/>
    </xf>
    <xf numFmtId="0" fontId="47" fillId="7" borderId="0" xfId="0" applyFont="1" applyFill="1" applyAlignment="1" applyProtection="1">
      <alignment horizontal="left"/>
      <protection hidden="1"/>
    </xf>
    <xf numFmtId="0" fontId="47" fillId="7" borderId="0" xfId="1" applyNumberFormat="1" applyFont="1" applyFill="1" applyAlignment="1" applyProtection="1">
      <alignment horizontal="left"/>
      <protection hidden="1"/>
    </xf>
    <xf numFmtId="0" fontId="47" fillId="7" borderId="0" xfId="1" applyNumberFormat="1" applyFont="1" applyFill="1" applyProtection="1">
      <protection hidden="1"/>
    </xf>
    <xf numFmtId="0" fontId="46" fillId="7" borderId="0" xfId="0" applyFont="1" applyFill="1" applyProtection="1">
      <protection hidden="1"/>
    </xf>
    <xf numFmtId="0" fontId="46" fillId="7" borderId="0" xfId="0" applyFont="1" applyFill="1" applyAlignment="1" applyProtection="1">
      <alignment horizontal="center"/>
      <protection hidden="1"/>
    </xf>
    <xf numFmtId="0" fontId="46" fillId="7" borderId="0" xfId="0" applyFont="1" applyFill="1" applyAlignment="1" applyProtection="1">
      <alignment horizontal="right"/>
      <protection hidden="1"/>
    </xf>
    <xf numFmtId="0" fontId="46" fillId="7" borderId="0" xfId="0" applyFont="1" applyFill="1" applyAlignment="1" applyProtection="1">
      <alignment horizontal="left"/>
      <protection hidden="1"/>
    </xf>
    <xf numFmtId="0" fontId="49" fillId="7" borderId="0" xfId="1" applyNumberFormat="1" applyFont="1" applyFill="1" applyProtection="1">
      <protection hidden="1"/>
    </xf>
    <xf numFmtId="0" fontId="49" fillId="7" borderId="0" xfId="0" applyFont="1" applyFill="1" applyProtection="1">
      <protection hidden="1"/>
    </xf>
    <xf numFmtId="0" fontId="46" fillId="7" borderId="0" xfId="1" applyNumberFormat="1" applyFont="1" applyFill="1" applyProtection="1">
      <protection hidden="1"/>
    </xf>
    <xf numFmtId="0" fontId="46" fillId="7" borderId="0" xfId="1" applyNumberFormat="1" applyFont="1" applyFill="1" applyAlignment="1" applyProtection="1">
      <alignment horizontal="left" indent="5"/>
      <protection hidden="1"/>
    </xf>
    <xf numFmtId="0" fontId="46" fillId="7" borderId="0" xfId="1" applyNumberFormat="1" applyFont="1" applyFill="1" applyAlignment="1" applyProtection="1">
      <alignment horizontal="left" indent="8"/>
      <protection hidden="1"/>
    </xf>
    <xf numFmtId="168" fontId="46" fillId="7" borderId="0" xfId="1" applyNumberFormat="1" applyFont="1" applyFill="1" applyAlignment="1" applyProtection="1">
      <alignment horizontal="left"/>
      <protection hidden="1"/>
    </xf>
    <xf numFmtId="0" fontId="46" fillId="7" borderId="0" xfId="1" applyNumberFormat="1" applyFont="1" applyFill="1" applyAlignment="1" applyProtection="1">
      <protection hidden="1"/>
    </xf>
    <xf numFmtId="164" fontId="49" fillId="7" borderId="0" xfId="0" applyNumberFormat="1" applyFont="1" applyFill="1" applyBorder="1" applyProtection="1">
      <protection hidden="1"/>
    </xf>
    <xf numFmtId="0" fontId="49" fillId="7" borderId="0" xfId="0" applyFont="1" applyFill="1" applyAlignment="1" applyProtection="1">
      <alignment horizontal="left"/>
      <protection hidden="1"/>
    </xf>
    <xf numFmtId="168" fontId="46" fillId="7" borderId="0" xfId="0" applyNumberFormat="1" applyFont="1" applyFill="1" applyProtection="1">
      <protection hidden="1"/>
    </xf>
    <xf numFmtId="168" fontId="49" fillId="7" borderId="0" xfId="0" applyNumberFormat="1" applyFont="1" applyFill="1" applyProtection="1">
      <protection hidden="1"/>
    </xf>
    <xf numFmtId="165" fontId="46" fillId="7" borderId="0" xfId="1" applyFont="1" applyFill="1" applyAlignment="1" applyProtection="1">
      <alignment horizontal="left"/>
      <protection hidden="1"/>
    </xf>
    <xf numFmtId="167" fontId="46" fillId="7" borderId="0" xfId="0" applyNumberFormat="1" applyFont="1" applyFill="1" applyBorder="1" applyAlignment="1" applyProtection="1">
      <alignment horizontal="center"/>
      <protection hidden="1"/>
    </xf>
    <xf numFmtId="0" fontId="46" fillId="7" borderId="0" xfId="1" applyNumberFormat="1" applyFont="1" applyFill="1" applyAlignment="1" applyProtection="1">
      <alignment horizontal="left"/>
      <protection hidden="1"/>
    </xf>
    <xf numFmtId="165" fontId="46" fillId="7" borderId="0" xfId="1" applyFont="1" applyFill="1" applyAlignment="1" applyProtection="1">
      <alignment horizontal="left" indent="3"/>
      <protection hidden="1"/>
    </xf>
    <xf numFmtId="165" fontId="46" fillId="7" borderId="0" xfId="1" applyFont="1" applyFill="1" applyProtection="1">
      <protection hidden="1"/>
    </xf>
    <xf numFmtId="167" fontId="46" fillId="7" borderId="0" xfId="0" applyNumberFormat="1" applyFont="1" applyFill="1" applyAlignment="1" applyProtection="1">
      <alignment horizontal="right" indent="1"/>
      <protection hidden="1"/>
    </xf>
    <xf numFmtId="0" fontId="46" fillId="7" borderId="0" xfId="2" applyFont="1" applyFill="1" applyAlignment="1" applyProtection="1">
      <alignment horizontal="left"/>
      <protection hidden="1"/>
    </xf>
    <xf numFmtId="0" fontId="49" fillId="7" borderId="0" xfId="1" applyNumberFormat="1" applyFont="1" applyFill="1" applyAlignment="1" applyProtection="1">
      <alignment horizontal="left"/>
      <protection hidden="1"/>
    </xf>
    <xf numFmtId="0" fontId="47" fillId="7" borderId="0" xfId="2" applyFont="1" applyFill="1" applyProtection="1">
      <protection hidden="1"/>
    </xf>
    <xf numFmtId="0" fontId="46" fillId="7" borderId="0" xfId="2" applyFont="1" applyFill="1" applyProtection="1">
      <protection hidden="1"/>
    </xf>
    <xf numFmtId="0" fontId="47" fillId="7" borderId="0" xfId="0" applyFont="1" applyFill="1" applyProtection="1">
      <protection hidden="1"/>
    </xf>
    <xf numFmtId="0" fontId="46" fillId="7" borderId="0" xfId="0" applyFont="1" applyFill="1" applyAlignment="1" applyProtection="1">
      <alignment horizontal="left" indent="4"/>
      <protection hidden="1"/>
    </xf>
    <xf numFmtId="0" fontId="47" fillId="7" borderId="0" xfId="0" applyFont="1" applyFill="1" applyAlignment="1">
      <alignment horizontal="left" vertical="center"/>
    </xf>
    <xf numFmtId="0" fontId="46" fillId="7" borderId="0" xfId="0" applyFont="1" applyFill="1" applyAlignment="1">
      <alignment horizontal="left" vertical="center"/>
    </xf>
    <xf numFmtId="0" fontId="5" fillId="0" borderId="0" xfId="2" applyFont="1" applyFill="1" applyAlignment="1" applyProtection="1">
      <alignment horizontal="center"/>
      <protection hidden="1"/>
    </xf>
    <xf numFmtId="0" fontId="4" fillId="0" borderId="0" xfId="2" applyFont="1" applyFill="1" applyAlignment="1" applyProtection="1">
      <alignment horizontal="center"/>
      <protection hidden="1"/>
    </xf>
    <xf numFmtId="0" fontId="5" fillId="5" borderId="0" xfId="0" applyNumberFormat="1" applyFont="1" applyFill="1" applyBorder="1" applyProtection="1">
      <protection hidden="1"/>
    </xf>
    <xf numFmtId="0" fontId="46" fillId="5" borderId="0" xfId="0" applyNumberFormat="1" applyFont="1" applyFill="1" applyBorder="1" applyAlignment="1" applyProtection="1">
      <alignment horizontal="center"/>
      <protection hidden="1"/>
    </xf>
    <xf numFmtId="164" fontId="45" fillId="0" borderId="0" xfId="0" applyNumberFormat="1" applyFont="1" applyFill="1" applyBorder="1" applyAlignment="1" applyProtection="1">
      <alignment horizontal="left"/>
      <protection hidden="1"/>
    </xf>
    <xf numFmtId="164" fontId="12" fillId="0" borderId="0" xfId="0" applyNumberFormat="1" applyFont="1" applyFill="1" applyBorder="1" applyAlignment="1" applyProtection="1">
      <alignment horizontal="left"/>
      <protection hidden="1"/>
    </xf>
    <xf numFmtId="0" fontId="4" fillId="0" borderId="15" xfId="0" applyFont="1" applyFill="1" applyBorder="1" applyAlignment="1" applyProtection="1">
      <alignment horizontal="left" wrapText="1"/>
      <protection hidden="1"/>
    </xf>
    <xf numFmtId="0" fontId="4" fillId="0" borderId="0" xfId="1" applyNumberFormat="1" applyFont="1" applyFill="1" applyAlignment="1" applyProtection="1">
      <alignment horizontal="left"/>
      <protection hidden="1"/>
    </xf>
    <xf numFmtId="164" fontId="15" fillId="0" borderId="0" xfId="0" applyNumberFormat="1" applyFont="1" applyFill="1" applyBorder="1" applyAlignment="1" applyProtection="1">
      <alignment horizontal="left"/>
      <protection hidden="1"/>
    </xf>
    <xf numFmtId="168" fontId="5" fillId="0" borderId="0" xfId="0" applyNumberFormat="1" applyFont="1" applyAlignment="1" applyProtection="1">
      <alignment horizontal="left"/>
      <protection hidden="1"/>
    </xf>
    <xf numFmtId="168" fontId="15" fillId="0" borderId="0" xfId="0" applyNumberFormat="1" applyFont="1" applyAlignment="1" applyProtection="1">
      <alignment horizontal="left"/>
      <protection hidden="1"/>
    </xf>
    <xf numFmtId="0" fontId="4" fillId="0" borderId="0" xfId="0" applyFont="1" applyFill="1" applyAlignment="1" applyProtection="1">
      <alignment horizontal="left"/>
      <protection hidden="1"/>
    </xf>
    <xf numFmtId="165" fontId="5" fillId="7" borderId="0" xfId="1" applyFont="1" applyFill="1" applyProtection="1">
      <protection hidden="1"/>
    </xf>
    <xf numFmtId="0" fontId="16" fillId="7" borderId="0" xfId="0" applyFont="1" applyFill="1" applyProtection="1">
      <protection hidden="1"/>
    </xf>
    <xf numFmtId="165" fontId="4" fillId="7" borderId="0" xfId="1" applyFont="1" applyFill="1" applyAlignment="1" applyProtection="1">
      <alignment horizontal="center"/>
      <protection hidden="1"/>
    </xf>
    <xf numFmtId="0" fontId="0" fillId="7" borderId="0" xfId="0" applyFill="1" applyProtection="1">
      <protection hidden="1"/>
    </xf>
    <xf numFmtId="0" fontId="17" fillId="7" borderId="0" xfId="0" applyFont="1" applyFill="1" applyAlignment="1" applyProtection="1">
      <alignment horizontal="center" wrapText="1"/>
      <protection hidden="1"/>
    </xf>
    <xf numFmtId="0" fontId="0" fillId="7" borderId="0" xfId="0" applyFill="1"/>
    <xf numFmtId="0" fontId="5" fillId="0" borderId="0" xfId="1" applyNumberFormat="1" applyFont="1" applyFill="1" applyAlignment="1" applyProtection="1">
      <alignment horizontal="center"/>
      <protection hidden="1"/>
    </xf>
    <xf numFmtId="0" fontId="0" fillId="0" borderId="0" xfId="0" applyFill="1"/>
    <xf numFmtId="165" fontId="5" fillId="0" borderId="0" xfId="1" applyFont="1" applyFill="1" applyProtection="1">
      <protection hidden="1"/>
    </xf>
    <xf numFmtId="0" fontId="16" fillId="0" borderId="0" xfId="0" applyFont="1" applyFill="1" applyProtection="1">
      <protection hidden="1"/>
    </xf>
    <xf numFmtId="0" fontId="17" fillId="0" borderId="0" xfId="0" applyFont="1" applyFill="1" applyAlignment="1" applyProtection="1">
      <alignment horizontal="center" wrapText="1"/>
      <protection hidden="1"/>
    </xf>
    <xf numFmtId="165" fontId="4" fillId="0" borderId="0" xfId="1" applyFont="1" applyFill="1" applyAlignment="1" applyProtection="1">
      <alignment horizontal="center"/>
      <protection hidden="1"/>
    </xf>
    <xf numFmtId="0" fontId="0" fillId="0" borderId="0" xfId="0" applyFill="1" applyProtection="1">
      <protection hidden="1"/>
    </xf>
    <xf numFmtId="168" fontId="46" fillId="0" borderId="0" xfId="1" applyNumberFormat="1" applyFont="1" applyFill="1" applyAlignment="1" applyProtection="1">
      <alignment horizontal="center"/>
      <protection hidden="1"/>
    </xf>
    <xf numFmtId="165" fontId="46" fillId="0" borderId="0" xfId="1" applyFont="1" applyFill="1" applyAlignment="1" applyProtection="1">
      <alignment horizontal="center"/>
      <protection hidden="1"/>
    </xf>
    <xf numFmtId="0" fontId="46" fillId="0" borderId="0" xfId="2" applyFont="1" applyFill="1" applyAlignment="1" applyProtection="1">
      <alignment horizontal="center"/>
      <protection hidden="1"/>
    </xf>
    <xf numFmtId="0" fontId="47" fillId="0" borderId="0" xfId="2" applyFont="1" applyFill="1" applyAlignment="1" applyProtection="1">
      <alignment horizontal="center"/>
      <protection hidden="1"/>
    </xf>
    <xf numFmtId="49" fontId="5" fillId="0" borderId="2" xfId="0" applyNumberFormat="1" applyFont="1" applyFill="1" applyBorder="1" applyAlignment="1" applyProtection="1">
      <alignment horizontal="left" wrapText="1"/>
      <protection hidden="1"/>
    </xf>
    <xf numFmtId="49" fontId="5" fillId="0" borderId="3" xfId="0" applyNumberFormat="1" applyFont="1" applyFill="1" applyBorder="1" applyAlignment="1" applyProtection="1">
      <alignment horizontal="left" wrapText="1"/>
      <protection hidden="1"/>
    </xf>
    <xf numFmtId="49" fontId="5" fillId="0" borderId="4" xfId="0" applyNumberFormat="1" applyFont="1" applyFill="1" applyBorder="1" applyAlignment="1" applyProtection="1">
      <alignment horizontal="left" wrapText="1"/>
      <protection hidden="1"/>
    </xf>
    <xf numFmtId="49" fontId="5" fillId="0" borderId="0" xfId="0" applyNumberFormat="1" applyFont="1" applyFill="1" applyBorder="1" applyAlignment="1" applyProtection="1">
      <alignment horizontal="left" wrapText="1"/>
      <protection hidden="1"/>
    </xf>
    <xf numFmtId="49" fontId="5" fillId="0" borderId="2" xfId="0" applyNumberFormat="1" applyFont="1" applyFill="1" applyBorder="1" applyAlignment="1" applyProtection="1">
      <alignment horizontal="left" wrapText="1"/>
      <protection hidden="1"/>
    </xf>
    <xf numFmtId="49" fontId="5" fillId="0" borderId="3" xfId="0" applyNumberFormat="1" applyFont="1" applyFill="1" applyBorder="1" applyAlignment="1" applyProtection="1">
      <alignment horizontal="left" wrapText="1"/>
      <protection hidden="1"/>
    </xf>
    <xf numFmtId="49" fontId="5" fillId="0" borderId="4" xfId="0" applyNumberFormat="1" applyFont="1" applyFill="1" applyBorder="1" applyAlignment="1" applyProtection="1">
      <alignment horizontal="left" wrapText="1"/>
      <protection hidden="1"/>
    </xf>
    <xf numFmtId="49" fontId="5" fillId="0" borderId="0" xfId="0" applyNumberFormat="1" applyFont="1" applyFill="1" applyBorder="1" applyAlignment="1" applyProtection="1">
      <alignment horizontal="left" wrapText="1"/>
      <protection hidden="1"/>
    </xf>
    <xf numFmtId="0" fontId="39" fillId="0" borderId="15" xfId="15" applyFont="1" applyBorder="1" applyAlignment="1">
      <alignment horizontal="center"/>
    </xf>
    <xf numFmtId="167" fontId="39" fillId="0" borderId="15" xfId="15" applyNumberFormat="1" applyFont="1" applyBorder="1" applyAlignment="1">
      <alignment horizontal="center"/>
    </xf>
    <xf numFmtId="171" fontId="1" fillId="0" borderId="0" xfId="12" applyNumberFormat="1" applyFont="1" applyAlignment="1">
      <alignment horizontal="center"/>
    </xf>
    <xf numFmtId="9" fontId="1" fillId="0" borderId="0" xfId="12" applyFont="1" applyAlignment="1">
      <alignment horizontal="center"/>
    </xf>
    <xf numFmtId="10" fontId="1" fillId="0" borderId="0" xfId="12" applyNumberFormat="1" applyFont="1" applyAlignment="1">
      <alignment horizontal="center"/>
    </xf>
  </cellXfs>
  <cellStyles count="16">
    <cellStyle name="Comma" xfId="14" builtinId="3"/>
    <cellStyle name="delete old" xfId="3" xr:uid="{00000000-0005-0000-0000-000000000000}"/>
    <cellStyle name="Hyperlink" xfId="13" builtinId="8"/>
    <cellStyle name="Normal" xfId="0" builtinId="0"/>
    <cellStyle name="Normal 2" xfId="11" xr:uid="{00000000-0005-0000-0000-000002000000}"/>
    <cellStyle name="Normal 3" xfId="15" xr:uid="{A625EA06-2646-4951-AB94-50783D42A37B}"/>
    <cellStyle name="Normal_SalaryOrdinance_01-03CEQ" xfId="2" xr:uid="{00000000-0005-0000-0000-000003000000}"/>
    <cellStyle name="Normal_SALORD2001-2003CLB" xfId="1" xr:uid="{00000000-0005-0000-0000-000004000000}"/>
    <cellStyle name="Ordinance type" xfId="4" xr:uid="{00000000-0005-0000-0000-000005000000}"/>
    <cellStyle name="Percent" xfId="12" builtinId="5"/>
    <cellStyle name="PSChar" xfId="5" xr:uid="{00000000-0005-0000-0000-000006000000}"/>
    <cellStyle name="PSDate" xfId="6" xr:uid="{00000000-0005-0000-0000-000007000000}"/>
    <cellStyle name="PSDec" xfId="7" xr:uid="{00000000-0005-0000-0000-000008000000}"/>
    <cellStyle name="PSHeading" xfId="8" xr:uid="{00000000-0005-0000-0000-000009000000}"/>
    <cellStyle name="PSInt" xfId="9" xr:uid="{00000000-0005-0000-0000-00000A000000}"/>
    <cellStyle name="PSSpacer" xfId="10" xr:uid="{00000000-0005-0000-0000-00000B000000}"/>
  </cellStyles>
  <dxfs count="0"/>
  <tableStyles count="1" defaultTableStyle="TableStyleMedium2" defaultPivotStyle="PivotStyleLight16">
    <tableStyle name="Invisible" pivot="0" table="0" count="0" xr9:uid="{64E0A060-54D4-4850-9BEC-9171A9430C2E}"/>
  </tableStyles>
  <colors>
    <mruColors>
      <color rgb="FFC39B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hyperlink" Target="file:///M:\Human%20Resources\LABOR\0%20Compensation\1%20Salary%20Plans\1%20CLB\Cory%20Webster%20-%202021%20pay%20correction\CLB%2007-26-19%20Union%20Representative%20Local%20363.pdf" TargetMode="External"/></Relationships>
</file>

<file path=xl/drawings/drawing1.xml><?xml version="1.0" encoding="utf-8"?>
<xdr:wsDr xmlns:xdr="http://schemas.openxmlformats.org/drawingml/2006/spreadsheetDrawing" xmlns:a="http://schemas.openxmlformats.org/drawingml/2006/main">
  <xdr:oneCellAnchor>
    <xdr:from>
      <xdr:col>6</xdr:col>
      <xdr:colOff>133350</xdr:colOff>
      <xdr:row>0</xdr:row>
      <xdr:rowOff>152400</xdr:rowOff>
    </xdr:from>
    <xdr:ext cx="5080686" cy="436786"/>
    <xdr:sp macro="" textlink="">
      <xdr:nvSpPr>
        <xdr:cNvPr id="2" name="TextBox 1">
          <a:hlinkClick xmlns:r="http://schemas.openxmlformats.org/officeDocument/2006/relationships" r:id="rId1"/>
          <a:extLst>
            <a:ext uri="{FF2B5EF4-FFF2-40B4-BE49-F238E27FC236}">
              <a16:creationId xmlns:a16="http://schemas.microsoft.com/office/drawing/2014/main" id="{FCEA6059-C61E-4839-A422-CE1CD72DF7F3}"/>
            </a:ext>
          </a:extLst>
        </xdr:cNvPr>
        <xdr:cNvSpPr txBox="1"/>
      </xdr:nvSpPr>
      <xdr:spPr>
        <a:xfrm>
          <a:off x="3952875" y="152400"/>
          <a:ext cx="5080686"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Our Union Representative rate is based</a:t>
          </a:r>
          <a:r>
            <a:rPr lang="en-US" sz="1100" baseline="0"/>
            <a:t> on the Park Board's Service Crew Leader rate.</a:t>
          </a:r>
          <a:endParaRPr lang="en-US" sz="1100"/>
        </a:p>
        <a:p>
          <a:r>
            <a:rPr lang="en-US" sz="1100"/>
            <a:t>The rate for this position is governed by the</a:t>
          </a:r>
          <a:r>
            <a:rPr lang="en-US" sz="1100" baseline="0"/>
            <a:t> LOA located </a:t>
          </a:r>
          <a:r>
            <a:rPr lang="en-US" sz="1100" u="sng" baseline="0">
              <a:solidFill>
                <a:schemeClr val="accent1"/>
              </a:solidFill>
            </a:rPr>
            <a:t>here</a:t>
          </a:r>
          <a:endParaRPr lang="en-US" sz="1100" u="sng">
            <a:solidFill>
              <a:schemeClr val="accent1"/>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Nelmspk0\Local%20Settings\Temporary%20Internet%20Files\OLK31\SALORD2001-2003CL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
      <sheetName val="2002"/>
      <sheetName val="2003"/>
      <sheetName val="2000"/>
      <sheetName val="Changes to Ordinance"/>
    </sheetNames>
    <sheetDataSet>
      <sheetData sheetId="0"/>
      <sheetData sheetId="1" refreshError="1"/>
      <sheetData sheetId="2" refreshError="1"/>
      <sheetData sheetId="3" refreshError="1"/>
      <sheetData sheetId="4" refreshError="1"/>
    </sheetDataSet>
  </externalBook>
</externalLink>
</file>

<file path=xl/persons/person.xml><?xml version="1.0" encoding="utf-8"?>
<personList xmlns="http://schemas.microsoft.com/office/spreadsheetml/2018/threadedcomments" xmlns:x="http://schemas.openxmlformats.org/spreadsheetml/2006/main">
  <person displayName="Miller, Brenda (she/her/hers)" id="{05EA2A0A-AC9C-4D98-ABBE-FF1503AE9C3E}" userId="S::brenda.miller@minneapolismn.gov::cf5ca117-91ff-47b2-8f55-8f549295f97b"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R18" dT="2023-12-04T15:06:52.55" personId="{05EA2A0A-AC9C-4D98-ABBE-FF1503AE9C3E}" id="{9FEF66CB-191F-46EA-9B40-7537E8C4E9E6}">
    <text>Get rid of step 1</text>
  </threadedComment>
  <threadedComment ref="R19" dT="2023-12-04T15:06:37.81" personId="{05EA2A0A-AC9C-4D98-ABBE-FF1503AE9C3E}" id="{A7ACA532-AAF5-4883-ABE0-A90135309A80}">
    <text>Get rid of Step 1</text>
  </threadedComment>
  <threadedComment ref="R20" dT="2023-12-04T15:04:10.03" personId="{05EA2A0A-AC9C-4D98-ABBE-FF1503AE9C3E}" id="{F01346E1-B59C-45CB-B277-CC6CA8AA152D}">
    <text>get rid of step 1</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 Id="rId4" Type="http://schemas.microsoft.com/office/2017/10/relationships/threadedComment" Target="../threadedComments/threadedComment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K154"/>
  <sheetViews>
    <sheetView topLeftCell="B26" zoomScaleNormal="100" workbookViewId="0">
      <selection activeCell="S46" sqref="S46"/>
    </sheetView>
  </sheetViews>
  <sheetFormatPr defaultColWidth="9.140625" defaultRowHeight="15"/>
  <cols>
    <col min="1" max="1" width="7.42578125" style="18" hidden="1" customWidth="1"/>
    <col min="2" max="2" width="6.5703125" style="2" customWidth="1"/>
    <col min="3" max="3" width="8.140625" style="9" customWidth="1"/>
    <col min="4" max="4" width="7.5703125" style="9" hidden="1" customWidth="1"/>
    <col min="5" max="5" width="126.5703125" style="2" hidden="1" customWidth="1"/>
    <col min="6" max="7" width="9.5703125" style="2" customWidth="1"/>
    <col min="8" max="8" width="45.140625" style="3" customWidth="1"/>
    <col min="9" max="9" width="8.42578125" style="53" customWidth="1"/>
    <col min="10" max="10" width="9" style="2" customWidth="1"/>
    <col min="11" max="11" width="10.42578125" style="2" customWidth="1"/>
    <col min="12" max="12" width="9.85546875" style="2" customWidth="1"/>
    <col min="13" max="13" width="10" style="2" customWidth="1"/>
    <col min="14" max="15" width="9.42578125" style="2" customWidth="1"/>
    <col min="16" max="16" width="7.85546875" style="2" customWidth="1"/>
    <col min="17" max="17" width="8.42578125" style="23" customWidth="1"/>
    <col min="18" max="18" width="8.42578125" style="200" customWidth="1"/>
    <col min="19" max="23" width="8.42578125" style="201" customWidth="1"/>
    <col min="24" max="26" width="8.42578125" style="18" customWidth="1"/>
    <col min="27" max="16384" width="9.140625" style="18"/>
  </cols>
  <sheetData>
    <row r="1" spans="1:19">
      <c r="A1" s="1"/>
      <c r="B1" s="1" t="s">
        <v>0</v>
      </c>
      <c r="C1" s="2"/>
      <c r="D1" s="3"/>
      <c r="E1" s="4"/>
      <c r="F1" s="4"/>
      <c r="G1" s="4"/>
      <c r="H1" s="4"/>
      <c r="I1" s="4"/>
      <c r="J1" s="4"/>
      <c r="K1" s="4"/>
    </row>
    <row r="2" spans="1:19">
      <c r="A2" s="1"/>
      <c r="B2" s="1" t="s">
        <v>1</v>
      </c>
      <c r="C2" s="5"/>
      <c r="D2" s="3"/>
      <c r="E2" s="6"/>
      <c r="F2" s="6"/>
      <c r="G2" s="6"/>
      <c r="H2" s="6"/>
      <c r="I2" s="6"/>
      <c r="J2" s="6"/>
      <c r="K2" s="6"/>
    </row>
    <row r="4" spans="1:19" ht="30">
      <c r="A4" s="7" t="s">
        <v>2</v>
      </c>
      <c r="B4" s="8" t="s">
        <v>3</v>
      </c>
      <c r="C4" s="8" t="s">
        <v>4</v>
      </c>
      <c r="E4" s="8" t="s">
        <v>5</v>
      </c>
      <c r="F4" s="10" t="s">
        <v>6</v>
      </c>
      <c r="G4" s="11" t="s">
        <v>7</v>
      </c>
      <c r="H4" s="12" t="s">
        <v>8</v>
      </c>
      <c r="I4" s="6" t="s">
        <v>9</v>
      </c>
      <c r="J4" s="6" t="s">
        <v>10</v>
      </c>
      <c r="K4" s="6" t="s">
        <v>11</v>
      </c>
      <c r="L4" s="6" t="s">
        <v>12</v>
      </c>
      <c r="M4" s="6" t="s">
        <v>13</v>
      </c>
      <c r="N4" s="6" t="s">
        <v>14</v>
      </c>
      <c r="O4" s="6" t="s">
        <v>15</v>
      </c>
      <c r="S4" s="201" t="s">
        <v>16</v>
      </c>
    </row>
    <row r="5" spans="1:19">
      <c r="A5" s="13">
        <v>228</v>
      </c>
      <c r="B5" s="14">
        <v>5</v>
      </c>
      <c r="C5" s="4" t="s">
        <v>17</v>
      </c>
      <c r="D5" s="13" t="s">
        <v>18</v>
      </c>
      <c r="E5" s="27" t="s">
        <v>19</v>
      </c>
      <c r="F5" s="27" t="s">
        <v>20</v>
      </c>
      <c r="G5" s="4" t="s">
        <v>21</v>
      </c>
      <c r="H5" s="3" t="s">
        <v>22</v>
      </c>
      <c r="I5" s="17">
        <v>24.410350750343405</v>
      </c>
      <c r="J5" s="17">
        <v>25.169310152797166</v>
      </c>
      <c r="K5" s="17">
        <v>25.951038337324533</v>
      </c>
      <c r="L5" s="17">
        <v>26.756218367387728</v>
      </c>
      <c r="M5" s="15"/>
      <c r="N5" s="16"/>
      <c r="O5" s="17"/>
      <c r="P5" s="23"/>
      <c r="R5" s="201"/>
      <c r="S5" s="201" t="s">
        <v>23</v>
      </c>
    </row>
    <row r="6" spans="1:19">
      <c r="A6" s="13">
        <v>228</v>
      </c>
      <c r="B6" s="14">
        <v>5</v>
      </c>
      <c r="C6" s="4" t="s">
        <v>17</v>
      </c>
      <c r="D6" s="13" t="s">
        <v>18</v>
      </c>
      <c r="E6" s="27" t="s">
        <v>19</v>
      </c>
      <c r="F6" s="27" t="s">
        <v>24</v>
      </c>
      <c r="G6" s="4" t="s">
        <v>25</v>
      </c>
      <c r="H6" s="3" t="s">
        <v>26</v>
      </c>
      <c r="I6" s="17">
        <v>24.816346817241332</v>
      </c>
      <c r="J6" s="17">
        <v>25.575306219695094</v>
      </c>
      <c r="K6" s="17">
        <v>26.35703440422246</v>
      </c>
      <c r="L6" s="17">
        <v>27.162214434285655</v>
      </c>
      <c r="M6" s="15"/>
      <c r="N6" s="16"/>
      <c r="O6" s="17"/>
      <c r="P6" s="23"/>
      <c r="R6" s="201"/>
      <c r="S6" s="201" t="s">
        <v>27</v>
      </c>
    </row>
    <row r="7" spans="1:19" ht="15" hidden="1" customHeight="1">
      <c r="C7" s="1"/>
      <c r="D7" s="1"/>
      <c r="E7" s="12" t="s">
        <v>28</v>
      </c>
      <c r="F7" s="12"/>
      <c r="G7" s="18"/>
      <c r="H7" s="12"/>
      <c r="I7" s="6"/>
      <c r="J7" s="6"/>
      <c r="K7" s="6"/>
      <c r="L7" s="6"/>
      <c r="M7" s="6"/>
      <c r="N7" s="6"/>
      <c r="O7" s="6"/>
      <c r="P7" s="23"/>
      <c r="R7" s="201"/>
      <c r="S7" s="201" t="s">
        <v>29</v>
      </c>
    </row>
    <row r="8" spans="1:19">
      <c r="A8" s="13">
        <v>280</v>
      </c>
      <c r="B8" s="14">
        <v>6</v>
      </c>
      <c r="C8" s="4" t="s">
        <v>17</v>
      </c>
      <c r="D8" s="13" t="s">
        <v>18</v>
      </c>
      <c r="E8" s="27" t="s">
        <v>19</v>
      </c>
      <c r="F8" s="27" t="s">
        <v>30</v>
      </c>
      <c r="G8" s="4" t="s">
        <v>31</v>
      </c>
      <c r="H8" s="3" t="s">
        <v>32</v>
      </c>
      <c r="I8" s="17">
        <v>24.816346817241332</v>
      </c>
      <c r="J8" s="17">
        <v>25.575306219695094</v>
      </c>
      <c r="K8" s="17">
        <v>26.35703440422246</v>
      </c>
      <c r="L8" s="17">
        <v>27.162214434285655</v>
      </c>
      <c r="M8" s="15"/>
      <c r="N8" s="16"/>
      <c r="O8" s="17"/>
      <c r="P8" s="18"/>
      <c r="Q8" s="18"/>
      <c r="R8" s="201"/>
      <c r="S8" s="201" t="s">
        <v>33</v>
      </c>
    </row>
    <row r="9" spans="1:19">
      <c r="A9" s="13">
        <v>280</v>
      </c>
      <c r="B9" s="14">
        <v>6</v>
      </c>
      <c r="C9" s="4" t="s">
        <v>17</v>
      </c>
      <c r="D9" s="13" t="s">
        <v>18</v>
      </c>
      <c r="E9" s="27" t="s">
        <v>19</v>
      </c>
      <c r="F9" s="27" t="s">
        <v>34</v>
      </c>
      <c r="G9" s="4" t="s">
        <v>35</v>
      </c>
      <c r="H9" s="3" t="s">
        <v>36</v>
      </c>
      <c r="I9" s="17">
        <v>25.164343446010982</v>
      </c>
      <c r="J9" s="17">
        <v>25.923302848464743</v>
      </c>
      <c r="K9" s="17">
        <v>26.70503103299211</v>
      </c>
      <c r="L9" s="17">
        <v>27.510211063055305</v>
      </c>
      <c r="M9" s="15"/>
      <c r="N9" s="16"/>
      <c r="O9" s="17"/>
      <c r="P9" s="18"/>
      <c r="Q9" s="18"/>
      <c r="R9" s="201"/>
      <c r="S9" s="201" t="s">
        <v>37</v>
      </c>
    </row>
    <row r="10" spans="1:19">
      <c r="A10" s="13">
        <v>280</v>
      </c>
      <c r="B10" s="14">
        <v>6</v>
      </c>
      <c r="C10" s="4" t="s">
        <v>17</v>
      </c>
      <c r="D10" s="13" t="s">
        <v>18</v>
      </c>
      <c r="E10" s="27" t="s">
        <v>19</v>
      </c>
      <c r="F10" s="27" t="s">
        <v>38</v>
      </c>
      <c r="G10" s="4" t="s">
        <v>39</v>
      </c>
      <c r="H10" s="3" t="s">
        <v>40</v>
      </c>
      <c r="I10" s="17">
        <v>26.266332770448209</v>
      </c>
      <c r="J10" s="17">
        <v>27.02529217290197</v>
      </c>
      <c r="K10" s="17">
        <v>27.807020357429337</v>
      </c>
      <c r="L10" s="17">
        <v>28.612200387492535</v>
      </c>
      <c r="M10" s="15"/>
      <c r="N10" s="16"/>
      <c r="O10" s="17"/>
      <c r="P10" s="18"/>
      <c r="Q10" s="18"/>
      <c r="R10" s="201"/>
    </row>
    <row r="11" spans="1:19">
      <c r="A11" s="13">
        <v>280</v>
      </c>
      <c r="B11" s="14">
        <v>6</v>
      </c>
      <c r="C11" s="4" t="s">
        <v>17</v>
      </c>
      <c r="D11" s="13" t="s">
        <v>18</v>
      </c>
      <c r="E11" s="27" t="s">
        <v>19</v>
      </c>
      <c r="F11" s="27" t="s">
        <v>41</v>
      </c>
      <c r="G11" s="4" t="s">
        <v>42</v>
      </c>
      <c r="H11" s="3" t="s">
        <v>43</v>
      </c>
      <c r="I11" s="17">
        <v>27.136324342372337</v>
      </c>
      <c r="J11" s="17">
        <v>27.895283744826099</v>
      </c>
      <c r="K11" s="17">
        <v>28.677011929353466</v>
      </c>
      <c r="L11" s="17">
        <v>29.48219195941666</v>
      </c>
      <c r="M11" s="15"/>
      <c r="N11" s="16"/>
      <c r="O11" s="17"/>
      <c r="P11" s="18"/>
      <c r="Q11" s="18"/>
      <c r="R11" s="201"/>
      <c r="S11" s="201" t="s">
        <v>44</v>
      </c>
    </row>
    <row r="12" spans="1:19">
      <c r="A12" s="13">
        <v>228</v>
      </c>
      <c r="B12" s="14">
        <v>5</v>
      </c>
      <c r="C12" s="4" t="s">
        <v>17</v>
      </c>
      <c r="D12" s="13" t="s">
        <v>18</v>
      </c>
      <c r="E12" s="27">
        <v>15</v>
      </c>
      <c r="F12" s="27">
        <v>15</v>
      </c>
      <c r="G12" s="4" t="s">
        <v>45</v>
      </c>
      <c r="H12" s="3" t="s">
        <v>46</v>
      </c>
      <c r="I12" s="17">
        <v>28</v>
      </c>
      <c r="J12" s="17"/>
      <c r="K12" s="17"/>
      <c r="L12" s="17"/>
      <c r="P12" s="18"/>
      <c r="Q12" s="18"/>
      <c r="R12" s="201"/>
    </row>
    <row r="13" spans="1:19">
      <c r="A13" s="13">
        <v>178</v>
      </c>
      <c r="B13" s="14">
        <v>3</v>
      </c>
      <c r="C13" s="4" t="s">
        <v>17</v>
      </c>
      <c r="D13" s="13" t="s">
        <v>18</v>
      </c>
      <c r="E13" s="27" t="s">
        <v>47</v>
      </c>
      <c r="F13" s="27" t="s">
        <v>47</v>
      </c>
      <c r="G13" s="4" t="s">
        <v>48</v>
      </c>
      <c r="H13" s="3" t="s">
        <v>49</v>
      </c>
      <c r="I13" s="17">
        <v>14.771377041826494</v>
      </c>
      <c r="J13" s="17">
        <v>17.16787641435964</v>
      </c>
      <c r="K13" s="17">
        <v>18.149242907411971</v>
      </c>
      <c r="L13" s="17">
        <v>22.779279695145995</v>
      </c>
      <c r="M13" s="17"/>
      <c r="N13" s="19"/>
      <c r="O13" s="19"/>
      <c r="P13" s="18"/>
      <c r="Q13" s="18"/>
      <c r="R13" s="201"/>
    </row>
    <row r="14" spans="1:19">
      <c r="A14" s="13">
        <v>280</v>
      </c>
      <c r="B14" s="14">
        <v>6</v>
      </c>
      <c r="C14" s="4" t="s">
        <v>17</v>
      </c>
      <c r="D14" s="13" t="s">
        <v>18</v>
      </c>
      <c r="E14" s="27">
        <v>18</v>
      </c>
      <c r="F14" s="27">
        <v>18</v>
      </c>
      <c r="G14" s="4" t="s">
        <v>50</v>
      </c>
      <c r="H14" s="3" t="s">
        <v>51</v>
      </c>
      <c r="I14" s="17">
        <v>31.35</v>
      </c>
      <c r="J14" s="17"/>
      <c r="K14" s="17"/>
      <c r="L14" s="17"/>
      <c r="N14" s="16"/>
      <c r="O14" s="17"/>
      <c r="P14" s="18"/>
      <c r="Q14" s="18"/>
      <c r="R14" s="201"/>
    </row>
    <row r="15" spans="1:19">
      <c r="A15" s="13">
        <v>188</v>
      </c>
      <c r="B15" s="14">
        <v>4</v>
      </c>
      <c r="C15" s="4" t="s">
        <v>17</v>
      </c>
      <c r="D15" s="13" t="s">
        <v>18</v>
      </c>
      <c r="E15" s="27" t="s">
        <v>52</v>
      </c>
      <c r="F15" s="27" t="s">
        <v>52</v>
      </c>
      <c r="G15" s="4" t="s">
        <v>53</v>
      </c>
      <c r="H15" s="3" t="s">
        <v>54</v>
      </c>
      <c r="I15" s="17">
        <v>17.775389005296795</v>
      </c>
      <c r="J15" s="17">
        <v>20.380383823240322</v>
      </c>
      <c r="K15" s="17">
        <v>24.641359707604263</v>
      </c>
      <c r="O15" s="2" t="s">
        <v>55</v>
      </c>
      <c r="P15" s="18"/>
      <c r="Q15" s="18"/>
      <c r="R15" s="201"/>
    </row>
    <row r="16" spans="1:19">
      <c r="A16" s="13">
        <v>188</v>
      </c>
      <c r="B16" s="14">
        <v>4</v>
      </c>
      <c r="C16" s="4" t="s">
        <v>17</v>
      </c>
      <c r="D16" s="13" t="s">
        <v>18</v>
      </c>
      <c r="E16" s="27" t="s">
        <v>52</v>
      </c>
      <c r="F16" s="27" t="s">
        <v>52</v>
      </c>
      <c r="G16" s="4" t="s">
        <v>56</v>
      </c>
      <c r="H16" s="3" t="s">
        <v>57</v>
      </c>
      <c r="I16" s="17">
        <v>17.775389005296795</v>
      </c>
      <c r="J16" s="17">
        <v>20.380383823240322</v>
      </c>
      <c r="K16" s="17">
        <v>24.641359707604263</v>
      </c>
      <c r="N16" s="16"/>
      <c r="O16" s="17"/>
      <c r="P16" s="18"/>
      <c r="Q16" s="18"/>
      <c r="R16" s="201"/>
    </row>
    <row r="17" spans="1:20">
      <c r="A17" s="13">
        <v>153</v>
      </c>
      <c r="B17" s="14">
        <v>3</v>
      </c>
      <c r="C17" s="4" t="s">
        <v>17</v>
      </c>
      <c r="D17" s="13" t="s">
        <v>18</v>
      </c>
      <c r="E17" s="27" t="s">
        <v>47</v>
      </c>
      <c r="F17" s="27" t="s">
        <v>47</v>
      </c>
      <c r="G17" s="4" t="s">
        <v>58</v>
      </c>
      <c r="H17" s="3" t="s">
        <v>59</v>
      </c>
      <c r="I17" s="17">
        <v>14.771377041826494</v>
      </c>
      <c r="J17" s="17">
        <v>17.16787641435964</v>
      </c>
      <c r="K17" s="17">
        <v>18.149242907411971</v>
      </c>
      <c r="L17" s="17">
        <v>22.779279695145995</v>
      </c>
      <c r="N17" s="16"/>
      <c r="O17" s="17"/>
      <c r="P17" s="18"/>
      <c r="Q17" s="18"/>
      <c r="R17" s="201"/>
    </row>
    <row r="18" spans="1:20">
      <c r="A18" s="13">
        <v>160</v>
      </c>
      <c r="B18" s="14">
        <v>3</v>
      </c>
      <c r="C18" s="4" t="s">
        <v>17</v>
      </c>
      <c r="D18" s="13" t="s">
        <v>18</v>
      </c>
      <c r="E18" s="27" t="s">
        <v>47</v>
      </c>
      <c r="F18" s="27" t="s">
        <v>47</v>
      </c>
      <c r="G18" s="4" t="s">
        <v>60</v>
      </c>
      <c r="H18" s="3" t="s">
        <v>61</v>
      </c>
      <c r="I18" s="17">
        <v>14.771377041826494</v>
      </c>
      <c r="J18" s="17">
        <v>17.16787641435964</v>
      </c>
      <c r="K18" s="17">
        <v>18.149242907411971</v>
      </c>
      <c r="L18" s="17">
        <v>22.779279695145995</v>
      </c>
      <c r="M18" s="17"/>
      <c r="N18" s="16"/>
      <c r="O18" s="17"/>
      <c r="P18" s="18"/>
      <c r="Q18" s="18"/>
      <c r="R18" s="201"/>
    </row>
    <row r="19" spans="1:20">
      <c r="A19" s="13">
        <v>190</v>
      </c>
      <c r="B19" s="14">
        <v>4</v>
      </c>
      <c r="C19" s="4" t="s">
        <v>17</v>
      </c>
      <c r="D19" s="13" t="s">
        <v>18</v>
      </c>
      <c r="E19" s="27" t="s">
        <v>62</v>
      </c>
      <c r="F19" s="27" t="s">
        <v>62</v>
      </c>
      <c r="G19" s="4" t="s">
        <v>63</v>
      </c>
      <c r="H19" s="3" t="s">
        <v>64</v>
      </c>
      <c r="I19" s="17">
        <v>15.231504921352858</v>
      </c>
      <c r="J19" s="17">
        <v>17.707088773179603</v>
      </c>
      <c r="K19" s="17">
        <v>20.348031081711124</v>
      </c>
      <c r="L19" s="17">
        <v>24.540706733957862</v>
      </c>
      <c r="M19" s="17"/>
      <c r="N19" s="16"/>
      <c r="O19" s="17"/>
      <c r="P19" s="18"/>
      <c r="Q19" s="18"/>
      <c r="R19" s="201"/>
    </row>
    <row r="20" spans="1:20">
      <c r="A20" s="13">
        <v>263</v>
      </c>
      <c r="B20" s="14">
        <v>5</v>
      </c>
      <c r="C20" s="4" t="s">
        <v>17</v>
      </c>
      <c r="D20" s="13" t="s">
        <v>18</v>
      </c>
      <c r="E20" s="27" t="s">
        <v>65</v>
      </c>
      <c r="F20" s="27" t="s">
        <v>65</v>
      </c>
      <c r="G20" s="4" t="s">
        <v>66</v>
      </c>
      <c r="H20" s="3" t="s">
        <v>67</v>
      </c>
      <c r="I20" s="17">
        <v>23.673173961100868</v>
      </c>
      <c r="J20" s="17">
        <v>24.4640187540368</v>
      </c>
      <c r="K20" s="17">
        <v>25.282423289756874</v>
      </c>
      <c r="L20" s="17">
        <v>26.291349525593329</v>
      </c>
      <c r="N20" s="16"/>
      <c r="O20" s="17"/>
      <c r="P20" s="18"/>
      <c r="Q20" s="18"/>
      <c r="R20" s="201"/>
    </row>
    <row r="21" spans="1:20">
      <c r="A21" s="13">
        <v>205</v>
      </c>
      <c r="B21" s="14">
        <v>4</v>
      </c>
      <c r="C21" s="4" t="s">
        <v>17</v>
      </c>
      <c r="D21" s="13" t="s">
        <v>18</v>
      </c>
      <c r="E21" s="27">
        <v>11</v>
      </c>
      <c r="F21" s="27">
        <v>11</v>
      </c>
      <c r="G21" s="4" t="s">
        <v>68</v>
      </c>
      <c r="H21" s="3" t="s">
        <v>69</v>
      </c>
      <c r="I21" s="17">
        <v>26.855928116027684</v>
      </c>
      <c r="J21" s="17"/>
      <c r="N21" s="16"/>
      <c r="O21" s="17"/>
      <c r="P21" s="23"/>
      <c r="R21" s="201"/>
      <c r="S21" s="200"/>
    </row>
    <row r="22" spans="1:20" ht="30">
      <c r="A22" s="13">
        <v>205</v>
      </c>
      <c r="B22" s="14">
        <v>4</v>
      </c>
      <c r="C22" s="4" t="s">
        <v>17</v>
      </c>
      <c r="D22" s="13" t="s">
        <v>18</v>
      </c>
      <c r="E22" s="27" t="s">
        <v>19</v>
      </c>
      <c r="F22" s="27" t="s">
        <v>70</v>
      </c>
      <c r="G22" s="4" t="s">
        <v>71</v>
      </c>
      <c r="H22" s="20" t="s">
        <v>72</v>
      </c>
      <c r="I22" s="17">
        <v>24.410350750343405</v>
      </c>
      <c r="J22" s="17">
        <v>25.169310152797166</v>
      </c>
      <c r="K22" s="17">
        <v>25.951038337324533</v>
      </c>
      <c r="L22" s="17">
        <v>26.756218367387728</v>
      </c>
      <c r="M22" s="15"/>
      <c r="N22" s="16"/>
      <c r="O22" s="17"/>
      <c r="P22" s="23"/>
      <c r="R22" s="201"/>
    </row>
    <row r="23" spans="1:20" ht="30">
      <c r="A23" s="13">
        <v>205</v>
      </c>
      <c r="B23" s="14">
        <v>4</v>
      </c>
      <c r="C23" s="4" t="s">
        <v>17</v>
      </c>
      <c r="D23" s="13" t="s">
        <v>18</v>
      </c>
      <c r="E23" s="27" t="s">
        <v>19</v>
      </c>
      <c r="F23" s="27" t="s">
        <v>73</v>
      </c>
      <c r="G23" s="4" t="s">
        <v>74</v>
      </c>
      <c r="H23" s="20" t="s">
        <v>75</v>
      </c>
      <c r="I23" s="17">
        <v>24.816346817241332</v>
      </c>
      <c r="J23" s="17">
        <v>25.575306219695094</v>
      </c>
      <c r="K23" s="17">
        <v>26.35703440422246</v>
      </c>
      <c r="L23" s="17">
        <v>27.162214434285655</v>
      </c>
      <c r="M23" s="15"/>
      <c r="N23" s="16"/>
      <c r="O23" s="17"/>
      <c r="P23" s="21"/>
      <c r="Q23" s="18"/>
      <c r="R23" s="201"/>
      <c r="T23" s="202"/>
    </row>
    <row r="24" spans="1:20">
      <c r="A24" s="13">
        <v>205</v>
      </c>
      <c r="B24" s="14">
        <v>4</v>
      </c>
      <c r="C24" s="4" t="s">
        <v>17</v>
      </c>
      <c r="D24" s="13" t="s">
        <v>18</v>
      </c>
      <c r="E24" s="27" t="s">
        <v>76</v>
      </c>
      <c r="F24" s="27" t="s">
        <v>76</v>
      </c>
      <c r="G24" s="4" t="s">
        <v>77</v>
      </c>
      <c r="H24" s="3" t="s">
        <v>78</v>
      </c>
      <c r="I24" s="17">
        <v>27.129636179052465</v>
      </c>
      <c r="N24" s="16"/>
      <c r="O24" s="17"/>
      <c r="P24" s="22"/>
      <c r="R24" s="201"/>
      <c r="S24" s="200"/>
      <c r="T24" s="202"/>
    </row>
    <row r="25" spans="1:20" ht="30">
      <c r="A25" s="13">
        <v>205</v>
      </c>
      <c r="B25" s="14">
        <v>4</v>
      </c>
      <c r="C25" s="4" t="s">
        <v>17</v>
      </c>
      <c r="D25" s="13" t="s">
        <v>18</v>
      </c>
      <c r="E25" s="27" t="s">
        <v>19</v>
      </c>
      <c r="F25" s="27" t="s">
        <v>79</v>
      </c>
      <c r="G25" s="4" t="s">
        <v>80</v>
      </c>
      <c r="H25" s="20" t="s">
        <v>81</v>
      </c>
      <c r="I25" s="17">
        <v>24.410350750343405</v>
      </c>
      <c r="J25" s="17">
        <v>25.169310152797166</v>
      </c>
      <c r="K25" s="17">
        <v>25.951038337324533</v>
      </c>
      <c r="L25" s="17">
        <v>26.756218367387728</v>
      </c>
      <c r="M25" s="15"/>
      <c r="N25" s="16"/>
      <c r="O25" s="17"/>
      <c r="P25" s="24"/>
      <c r="R25" s="201"/>
    </row>
    <row r="26" spans="1:20" ht="30">
      <c r="A26" s="13">
        <v>205</v>
      </c>
      <c r="B26" s="14">
        <v>4</v>
      </c>
      <c r="C26" s="4" t="s">
        <v>17</v>
      </c>
      <c r="D26" s="13" t="s">
        <v>18</v>
      </c>
      <c r="E26" s="27" t="s">
        <v>19</v>
      </c>
      <c r="F26" s="27" t="s">
        <v>82</v>
      </c>
      <c r="G26" s="4" t="s">
        <v>83</v>
      </c>
      <c r="H26" s="20" t="s">
        <v>84</v>
      </c>
      <c r="I26" s="17">
        <v>24.816346817241332</v>
      </c>
      <c r="J26" s="17">
        <v>25.575306219695094</v>
      </c>
      <c r="K26" s="17">
        <v>26.35703440422246</v>
      </c>
      <c r="L26" s="17">
        <v>27.162214434285655</v>
      </c>
      <c r="M26" s="15"/>
      <c r="N26" s="16"/>
      <c r="O26" s="17"/>
      <c r="P26" s="23"/>
      <c r="R26" s="201"/>
    </row>
    <row r="27" spans="1:20" ht="30">
      <c r="A27" s="13">
        <v>205</v>
      </c>
      <c r="B27" s="14">
        <v>4</v>
      </c>
      <c r="C27" s="4" t="s">
        <v>17</v>
      </c>
      <c r="D27" s="13" t="s">
        <v>18</v>
      </c>
      <c r="E27" s="27" t="s">
        <v>19</v>
      </c>
      <c r="F27" s="27" t="s">
        <v>85</v>
      </c>
      <c r="G27" s="4" t="s">
        <v>86</v>
      </c>
      <c r="H27" s="20" t="s">
        <v>87</v>
      </c>
      <c r="I27" s="17">
        <v>25.04834456975443</v>
      </c>
      <c r="J27" s="17">
        <v>25.807303972208192</v>
      </c>
      <c r="K27" s="17">
        <v>26.589032156735559</v>
      </c>
      <c r="L27" s="17">
        <v>27.394212186798754</v>
      </c>
      <c r="M27" s="15"/>
      <c r="N27" s="16"/>
      <c r="O27" s="17"/>
      <c r="P27" s="23"/>
      <c r="R27" s="201"/>
    </row>
    <row r="28" spans="1:20">
      <c r="A28" s="13">
        <v>205</v>
      </c>
      <c r="B28" s="14">
        <v>4</v>
      </c>
      <c r="C28" s="4" t="s">
        <v>17</v>
      </c>
      <c r="D28" s="13" t="s">
        <v>18</v>
      </c>
      <c r="E28" s="27" t="s">
        <v>88</v>
      </c>
      <c r="F28" s="27" t="s">
        <v>89</v>
      </c>
      <c r="G28" s="4" t="s">
        <v>90</v>
      </c>
      <c r="H28" s="20" t="s">
        <v>91</v>
      </c>
      <c r="I28" s="17">
        <v>28.5</v>
      </c>
      <c r="J28" s="17"/>
      <c r="K28" s="17"/>
      <c r="M28" s="15"/>
      <c r="N28" s="16"/>
      <c r="O28" s="17"/>
      <c r="P28" s="23"/>
      <c r="R28" s="201"/>
    </row>
    <row r="29" spans="1:20" ht="30">
      <c r="A29" s="13">
        <v>205</v>
      </c>
      <c r="B29" s="14">
        <v>4</v>
      </c>
      <c r="C29" s="4" t="s">
        <v>17</v>
      </c>
      <c r="D29" s="13" t="s">
        <v>18</v>
      </c>
      <c r="E29" s="27" t="s">
        <v>19</v>
      </c>
      <c r="F29" s="27" t="s">
        <v>92</v>
      </c>
      <c r="G29" s="4" t="s">
        <v>93</v>
      </c>
      <c r="H29" s="20" t="s">
        <v>94</v>
      </c>
      <c r="I29" s="17">
        <v>24.410350750343405</v>
      </c>
      <c r="J29" s="17">
        <v>25.169310152797166</v>
      </c>
      <c r="K29" s="17">
        <v>25.951038337324533</v>
      </c>
      <c r="L29" s="17">
        <v>26.756218367387728</v>
      </c>
      <c r="M29" s="15"/>
      <c r="N29" s="16"/>
      <c r="O29" s="17"/>
      <c r="P29" s="23"/>
      <c r="R29" s="201"/>
    </row>
    <row r="30" spans="1:20" ht="30">
      <c r="A30" s="13">
        <v>205</v>
      </c>
      <c r="B30" s="14">
        <v>4</v>
      </c>
      <c r="C30" s="4" t="s">
        <v>17</v>
      </c>
      <c r="D30" s="13" t="s">
        <v>18</v>
      </c>
      <c r="E30" s="27" t="s">
        <v>19</v>
      </c>
      <c r="F30" s="27" t="s">
        <v>95</v>
      </c>
      <c r="G30" s="4" t="s">
        <v>96</v>
      </c>
      <c r="H30" s="20" t="s">
        <v>97</v>
      </c>
      <c r="I30" s="17">
        <v>24.816346817241332</v>
      </c>
      <c r="J30" s="17">
        <v>25.575306219695094</v>
      </c>
      <c r="K30" s="17">
        <v>26.35703440422246</v>
      </c>
      <c r="L30" s="17">
        <v>27.162214434285655</v>
      </c>
      <c r="M30" s="15"/>
      <c r="N30" s="16"/>
      <c r="O30" s="17"/>
      <c r="P30" s="23"/>
      <c r="R30" s="201"/>
    </row>
    <row r="31" spans="1:20" ht="30">
      <c r="A31" s="13">
        <v>205</v>
      </c>
      <c r="B31" s="14">
        <v>4</v>
      </c>
      <c r="C31" s="4" t="s">
        <v>17</v>
      </c>
      <c r="D31" s="13" t="s">
        <v>18</v>
      </c>
      <c r="E31" s="27" t="s">
        <v>19</v>
      </c>
      <c r="F31" s="27" t="s">
        <v>98</v>
      </c>
      <c r="G31" s="4" t="s">
        <v>99</v>
      </c>
      <c r="H31" s="20" t="s">
        <v>100</v>
      </c>
      <c r="I31" s="17">
        <v>25.04834456975443</v>
      </c>
      <c r="J31" s="17">
        <v>25.807303972208192</v>
      </c>
      <c r="K31" s="17">
        <v>26.589032156735559</v>
      </c>
      <c r="L31" s="17">
        <v>27.394212186798754</v>
      </c>
      <c r="M31" s="15"/>
      <c r="N31" s="16"/>
      <c r="O31" s="17"/>
      <c r="P31" s="23"/>
      <c r="R31" s="201"/>
    </row>
    <row r="32" spans="1:20">
      <c r="A32" s="13">
        <v>273</v>
      </c>
      <c r="B32" s="14">
        <v>6</v>
      </c>
      <c r="C32" s="4" t="s">
        <v>17</v>
      </c>
      <c r="D32" s="13" t="s">
        <v>18</v>
      </c>
      <c r="E32" s="27">
        <v>19</v>
      </c>
      <c r="F32" s="27">
        <v>19</v>
      </c>
      <c r="G32" s="4" t="s">
        <v>101</v>
      </c>
      <c r="H32" s="3" t="s">
        <v>102</v>
      </c>
      <c r="I32" s="17">
        <v>28.5</v>
      </c>
      <c r="J32" s="16"/>
      <c r="P32" s="23"/>
      <c r="R32" s="201"/>
    </row>
    <row r="33" spans="1:33">
      <c r="A33" s="13">
        <v>273</v>
      </c>
      <c r="B33" s="14">
        <v>6</v>
      </c>
      <c r="C33" s="4" t="s">
        <v>17</v>
      </c>
      <c r="D33" s="13" t="s">
        <v>18</v>
      </c>
      <c r="E33" s="27" t="s">
        <v>88</v>
      </c>
      <c r="F33" s="27" t="s">
        <v>89</v>
      </c>
      <c r="G33" s="4" t="s">
        <v>103</v>
      </c>
      <c r="H33" s="3" t="s">
        <v>104</v>
      </c>
      <c r="I33" s="17">
        <v>28.5</v>
      </c>
      <c r="P33" s="23"/>
      <c r="R33" s="201"/>
    </row>
    <row r="34" spans="1:33">
      <c r="A34" s="13">
        <v>273</v>
      </c>
      <c r="B34" s="14">
        <v>6</v>
      </c>
      <c r="C34" s="4" t="s">
        <v>17</v>
      </c>
      <c r="D34" s="13" t="s">
        <v>18</v>
      </c>
      <c r="E34" s="27">
        <v>19</v>
      </c>
      <c r="F34" s="27">
        <v>19</v>
      </c>
      <c r="G34" s="4" t="s">
        <v>105</v>
      </c>
      <c r="H34" s="3" t="s">
        <v>106</v>
      </c>
      <c r="I34" s="17">
        <v>28.5</v>
      </c>
      <c r="P34" s="23"/>
      <c r="R34" s="201"/>
    </row>
    <row r="35" spans="1:33">
      <c r="A35" s="13">
        <v>273</v>
      </c>
      <c r="B35" s="14">
        <v>6</v>
      </c>
      <c r="C35" s="4" t="s">
        <v>17</v>
      </c>
      <c r="D35" s="13" t="s">
        <v>18</v>
      </c>
      <c r="E35" s="27">
        <v>19</v>
      </c>
      <c r="F35" s="27">
        <v>19</v>
      </c>
      <c r="G35" s="4" t="s">
        <v>107</v>
      </c>
      <c r="H35" s="3" t="s">
        <v>108</v>
      </c>
      <c r="I35" s="17">
        <v>28.5</v>
      </c>
      <c r="P35" s="23"/>
      <c r="R35" s="201"/>
    </row>
    <row r="36" spans="1:33">
      <c r="A36" s="13">
        <v>273</v>
      </c>
      <c r="B36" s="14">
        <v>6</v>
      </c>
      <c r="C36" s="4" t="s">
        <v>17</v>
      </c>
      <c r="D36" s="13" t="s">
        <v>18</v>
      </c>
      <c r="E36" s="27">
        <v>19</v>
      </c>
      <c r="F36" s="27">
        <v>19</v>
      </c>
      <c r="G36" s="4" t="s">
        <v>109</v>
      </c>
      <c r="H36" s="3" t="s">
        <v>110</v>
      </c>
      <c r="I36" s="17">
        <v>28.5</v>
      </c>
      <c r="P36" s="23"/>
      <c r="R36" s="201"/>
    </row>
    <row r="37" spans="1:33">
      <c r="A37" s="13">
        <v>238</v>
      </c>
      <c r="B37" s="14">
        <v>5</v>
      </c>
      <c r="C37" s="4" t="s">
        <v>17</v>
      </c>
      <c r="D37" s="13" t="s">
        <v>18</v>
      </c>
      <c r="E37" s="27" t="s">
        <v>111</v>
      </c>
      <c r="F37" s="27" t="s">
        <v>111</v>
      </c>
      <c r="G37" s="4" t="s">
        <v>112</v>
      </c>
      <c r="H37" s="3" t="s">
        <v>113</v>
      </c>
      <c r="I37" s="17">
        <v>26.582220053002903</v>
      </c>
      <c r="P37" s="23"/>
      <c r="R37" s="201"/>
    </row>
    <row r="38" spans="1:33">
      <c r="A38" s="13">
        <v>215</v>
      </c>
      <c r="B38" s="14">
        <v>4</v>
      </c>
      <c r="C38" s="4" t="s">
        <v>17</v>
      </c>
      <c r="D38" s="13" t="s">
        <v>18</v>
      </c>
      <c r="E38" s="27" t="s">
        <v>114</v>
      </c>
      <c r="F38" s="27" t="s">
        <v>114</v>
      </c>
      <c r="G38" s="4" t="s">
        <v>115</v>
      </c>
      <c r="H38" s="3" t="s">
        <v>116</v>
      </c>
      <c r="I38" s="17">
        <v>24.854648151759704</v>
      </c>
      <c r="P38" s="23"/>
      <c r="R38" s="201"/>
    </row>
    <row r="39" spans="1:33">
      <c r="A39" s="13">
        <v>335</v>
      </c>
      <c r="B39" s="14">
        <v>7</v>
      </c>
      <c r="C39" s="4" t="s">
        <v>17</v>
      </c>
      <c r="D39" s="13" t="s">
        <v>18</v>
      </c>
      <c r="E39" s="27" t="s">
        <v>117</v>
      </c>
      <c r="F39" s="27" t="s">
        <v>118</v>
      </c>
      <c r="G39" s="4" t="s">
        <v>119</v>
      </c>
      <c r="H39" s="3" t="s">
        <v>120</v>
      </c>
      <c r="I39" s="17">
        <v>25.022450022778784</v>
      </c>
      <c r="J39" s="17">
        <v>26.300264422443199</v>
      </c>
      <c r="K39" s="17">
        <v>27.57807882210761</v>
      </c>
      <c r="L39" s="17">
        <v>28.851520888496868</v>
      </c>
      <c r="M39" s="17">
        <v>30.130428371480068</v>
      </c>
      <c r="N39" s="17">
        <v>31.411522021100858</v>
      </c>
      <c r="P39" s="23"/>
      <c r="R39" s="201"/>
    </row>
    <row r="40" spans="1:33">
      <c r="A40" s="13">
        <v>230</v>
      </c>
      <c r="B40" s="14">
        <v>5</v>
      </c>
      <c r="C40" s="4" t="s">
        <v>17</v>
      </c>
      <c r="D40" s="13" t="s">
        <v>18</v>
      </c>
      <c r="E40" s="27" t="s">
        <v>19</v>
      </c>
      <c r="F40" s="27" t="s">
        <v>19</v>
      </c>
      <c r="G40" s="4" t="s">
        <v>121</v>
      </c>
      <c r="H40" s="20" t="s">
        <v>122</v>
      </c>
      <c r="I40" s="17">
        <v>24.23635243595858</v>
      </c>
      <c r="J40" s="17">
        <v>24.995311838412341</v>
      </c>
      <c r="K40" s="17">
        <v>25.777040022939708</v>
      </c>
      <c r="L40" s="17">
        <v>26.582220053002903</v>
      </c>
      <c r="P40" s="23"/>
      <c r="R40" s="201"/>
    </row>
    <row r="41" spans="1:33" hidden="1">
      <c r="A41" s="13">
        <v>215</v>
      </c>
      <c r="B41" s="14">
        <v>4</v>
      </c>
      <c r="C41" s="4" t="s">
        <v>17</v>
      </c>
      <c r="D41" s="13" t="s">
        <v>18</v>
      </c>
      <c r="E41" s="27">
        <v>12</v>
      </c>
      <c r="F41" s="27" t="s">
        <v>123</v>
      </c>
      <c r="G41" s="4" t="s">
        <v>112</v>
      </c>
      <c r="H41" s="3" t="s">
        <v>113</v>
      </c>
      <c r="I41" s="17">
        <v>24.465927129125362</v>
      </c>
      <c r="P41" s="23"/>
      <c r="R41" s="201"/>
    </row>
    <row r="42" spans="1:33">
      <c r="A42" s="13">
        <v>230</v>
      </c>
      <c r="B42" s="14">
        <v>5</v>
      </c>
      <c r="C42" s="4" t="s">
        <v>17</v>
      </c>
      <c r="D42" s="13" t="s">
        <v>18</v>
      </c>
      <c r="E42" s="27" t="s">
        <v>124</v>
      </c>
      <c r="F42" s="27" t="s">
        <v>125</v>
      </c>
      <c r="G42" s="4" t="s">
        <v>126</v>
      </c>
      <c r="H42" s="20" t="s">
        <v>127</v>
      </c>
      <c r="I42" s="15" t="s">
        <v>128</v>
      </c>
      <c r="J42" s="158"/>
      <c r="K42" s="15" t="s">
        <v>129</v>
      </c>
      <c r="L42" s="18"/>
      <c r="P42" s="23"/>
      <c r="R42" s="201"/>
    </row>
    <row r="43" spans="1:33" ht="30">
      <c r="A43" s="13">
        <v>318</v>
      </c>
      <c r="B43" s="14">
        <v>7</v>
      </c>
      <c r="C43" s="4" t="s">
        <v>17</v>
      </c>
      <c r="D43" s="13" t="s">
        <v>18</v>
      </c>
      <c r="E43" s="27" t="s">
        <v>130</v>
      </c>
      <c r="F43" s="27">
        <v>12</v>
      </c>
      <c r="G43" s="25" t="s">
        <v>131</v>
      </c>
      <c r="H43" s="20" t="s">
        <v>132</v>
      </c>
      <c r="I43" s="17">
        <v>32.130000000000003</v>
      </c>
      <c r="J43" s="17">
        <v>33</v>
      </c>
      <c r="K43" s="17">
        <v>34.04</v>
      </c>
      <c r="L43" s="17"/>
      <c r="N43" s="18"/>
      <c r="O43" s="18"/>
      <c r="P43" s="23"/>
      <c r="R43" s="201"/>
    </row>
    <row r="44" spans="1:33">
      <c r="A44" s="13">
        <v>310</v>
      </c>
      <c r="B44" s="14">
        <v>6</v>
      </c>
      <c r="C44" s="4" t="s">
        <v>17</v>
      </c>
      <c r="D44" s="13" t="s">
        <v>18</v>
      </c>
      <c r="E44" s="27" t="s">
        <v>133</v>
      </c>
      <c r="F44" s="27" t="s">
        <v>124</v>
      </c>
      <c r="G44" s="4" t="s">
        <v>134</v>
      </c>
      <c r="H44" s="3" t="s">
        <v>135</v>
      </c>
      <c r="I44" s="17">
        <v>24.9409221291709</v>
      </c>
      <c r="J44" s="17">
        <v>26.160740309790274</v>
      </c>
      <c r="K44" s="17">
        <v>27.361386495429375</v>
      </c>
      <c r="L44" s="17">
        <v>28.650703157852213</v>
      </c>
      <c r="P44" s="23"/>
      <c r="R44" s="201"/>
    </row>
    <row r="45" spans="1:33">
      <c r="A45" s="13">
        <v>258</v>
      </c>
      <c r="B45" s="14">
        <v>5</v>
      </c>
      <c r="C45" s="4" t="s">
        <v>17</v>
      </c>
      <c r="D45" s="13" t="s">
        <v>18</v>
      </c>
      <c r="E45" s="27">
        <v>16</v>
      </c>
      <c r="F45" s="27" t="s">
        <v>130</v>
      </c>
      <c r="G45" s="4" t="s">
        <v>136</v>
      </c>
      <c r="H45" s="3" t="s">
        <v>137</v>
      </c>
      <c r="I45" s="17">
        <v>26.582220053002903</v>
      </c>
      <c r="P45" s="23"/>
      <c r="R45" s="201"/>
    </row>
    <row r="46" spans="1:33">
      <c r="A46" s="13">
        <v>295</v>
      </c>
      <c r="B46" s="14">
        <v>6</v>
      </c>
      <c r="C46" s="4" t="s">
        <v>17</v>
      </c>
      <c r="D46" s="13" t="s">
        <v>18</v>
      </c>
      <c r="E46" s="27">
        <v>17</v>
      </c>
      <c r="F46" s="27" t="s">
        <v>133</v>
      </c>
      <c r="G46" s="4" t="s">
        <v>138</v>
      </c>
      <c r="H46" s="3" t="s">
        <v>139</v>
      </c>
      <c r="I46" s="17">
        <v>28.186980529267046</v>
      </c>
      <c r="J46" s="17">
        <v>28.916714588203384</v>
      </c>
      <c r="K46" s="17">
        <v>29.644052147767205</v>
      </c>
      <c r="L46" s="17"/>
      <c r="P46" s="18"/>
      <c r="Q46" s="18"/>
      <c r="R46" s="201"/>
      <c r="V46" s="203"/>
    </row>
    <row r="47" spans="1:33" ht="31.5" customHeight="1">
      <c r="A47" s="13">
        <v>260</v>
      </c>
      <c r="B47" s="14">
        <v>5</v>
      </c>
      <c r="C47" s="4" t="s">
        <v>17</v>
      </c>
      <c r="D47" s="13" t="s">
        <v>18</v>
      </c>
      <c r="E47" s="27">
        <v>8</v>
      </c>
      <c r="F47" s="27">
        <v>8</v>
      </c>
      <c r="G47" s="4" t="s">
        <v>140</v>
      </c>
      <c r="H47" s="3" t="s">
        <v>141</v>
      </c>
      <c r="I47" s="17">
        <v>18.943682449406698</v>
      </c>
      <c r="J47" s="17">
        <v>20.088010899791282</v>
      </c>
      <c r="K47" s="17">
        <v>22.062726382758591</v>
      </c>
      <c r="L47" s="17">
        <v>22.915880159380382</v>
      </c>
      <c r="M47" s="17">
        <v>24.634170209486658</v>
      </c>
      <c r="N47" s="17">
        <v>25.658673691244573</v>
      </c>
      <c r="O47" s="17">
        <v>26.582220053002903</v>
      </c>
      <c r="P47" s="23"/>
      <c r="Q47" s="179"/>
      <c r="R47" s="201"/>
      <c r="W47" s="203"/>
      <c r="X47" s="26"/>
      <c r="Y47" s="26"/>
      <c r="Z47" s="26"/>
      <c r="AA47" s="26"/>
      <c r="AB47" s="26"/>
      <c r="AC47" s="26"/>
      <c r="AD47" s="26"/>
      <c r="AE47" s="26"/>
      <c r="AF47" s="26"/>
      <c r="AG47" s="26"/>
    </row>
    <row r="48" spans="1:33">
      <c r="A48" s="13">
        <v>333</v>
      </c>
      <c r="B48" s="14">
        <v>7</v>
      </c>
      <c r="C48" s="4" t="s">
        <v>17</v>
      </c>
      <c r="D48" s="13" t="s">
        <v>18</v>
      </c>
      <c r="E48" s="27" t="s">
        <v>117</v>
      </c>
      <c r="F48" s="27" t="s">
        <v>118</v>
      </c>
      <c r="G48" s="4" t="s">
        <v>142</v>
      </c>
      <c r="H48" s="3" t="s">
        <v>143</v>
      </c>
      <c r="I48" s="17">
        <v>25.022450022778784</v>
      </c>
      <c r="J48" s="17">
        <v>26.300264422443199</v>
      </c>
      <c r="K48" s="17">
        <v>27.57807882210761</v>
      </c>
      <c r="L48" s="17">
        <v>28.851520888496868</v>
      </c>
      <c r="M48" s="17">
        <v>30.130428371480068</v>
      </c>
      <c r="N48" s="17">
        <v>31.411522021100858</v>
      </c>
      <c r="P48" s="23"/>
      <c r="R48" s="201"/>
    </row>
    <row r="49" spans="1:18">
      <c r="A49" s="13">
        <v>265</v>
      </c>
      <c r="B49" s="14">
        <v>5</v>
      </c>
      <c r="C49" s="4" t="s">
        <v>17</v>
      </c>
      <c r="D49" s="13" t="s">
        <v>18</v>
      </c>
      <c r="E49" s="27">
        <v>22</v>
      </c>
      <c r="F49" s="27">
        <v>22</v>
      </c>
      <c r="G49" s="4" t="s">
        <v>144</v>
      </c>
      <c r="H49" s="3" t="s">
        <v>145</v>
      </c>
      <c r="I49" s="17">
        <v>27.34766060011237</v>
      </c>
      <c r="J49" s="17">
        <v>28.483747794368359</v>
      </c>
      <c r="K49" s="17">
        <v>28.706736791401323</v>
      </c>
      <c r="L49" s="17">
        <v>29.041220286950775</v>
      </c>
      <c r="M49" s="15"/>
      <c r="N49" s="17"/>
      <c r="O49" s="17"/>
      <c r="P49" s="23"/>
      <c r="R49" s="201"/>
    </row>
    <row r="50" spans="1:18">
      <c r="A50" s="13">
        <v>253</v>
      </c>
      <c r="B50" s="14">
        <v>5</v>
      </c>
      <c r="C50" s="4" t="s">
        <v>17</v>
      </c>
      <c r="D50" s="13" t="s">
        <v>18</v>
      </c>
      <c r="E50" s="27" t="s">
        <v>65</v>
      </c>
      <c r="F50" s="27" t="s">
        <v>65</v>
      </c>
      <c r="G50" s="4" t="s">
        <v>146</v>
      </c>
      <c r="H50" s="3" t="s">
        <v>147</v>
      </c>
      <c r="I50" s="17">
        <v>23.673173961100868</v>
      </c>
      <c r="J50" s="17">
        <v>24.4640187540368</v>
      </c>
      <c r="K50" s="17">
        <v>25.282423289756874</v>
      </c>
      <c r="L50" s="17">
        <v>26.291349525593329</v>
      </c>
      <c r="M50" s="17"/>
      <c r="P50" s="23"/>
      <c r="R50" s="201"/>
    </row>
    <row r="51" spans="1:18">
      <c r="A51" s="13">
        <v>275</v>
      </c>
      <c r="B51" s="14">
        <v>6</v>
      </c>
      <c r="C51" s="4" t="s">
        <v>17</v>
      </c>
      <c r="D51" s="13" t="s">
        <v>18</v>
      </c>
      <c r="E51" s="27">
        <v>13</v>
      </c>
      <c r="F51" s="27">
        <v>13</v>
      </c>
      <c r="G51" s="4" t="s">
        <v>148</v>
      </c>
      <c r="H51" s="3" t="s">
        <v>149</v>
      </c>
      <c r="I51" s="17">
        <v>24.9409221291709</v>
      </c>
      <c r="J51" s="17">
        <v>26.160740309790274</v>
      </c>
      <c r="K51" s="17">
        <v>27.361386495429375</v>
      </c>
      <c r="L51" s="17">
        <v>28.650703157852213</v>
      </c>
      <c r="M51" s="17"/>
      <c r="P51" s="23"/>
      <c r="R51" s="201"/>
    </row>
    <row r="52" spans="1:18">
      <c r="B52" s="4"/>
      <c r="C52" s="18"/>
      <c r="D52" s="18"/>
      <c r="E52" s="27"/>
      <c r="F52" s="27"/>
      <c r="G52" s="27"/>
      <c r="I52" s="13"/>
      <c r="J52" s="17"/>
      <c r="K52" s="17"/>
      <c r="L52" s="17"/>
    </row>
    <row r="53" spans="1:18">
      <c r="C53" s="157" t="s">
        <v>150</v>
      </c>
      <c r="D53" s="44"/>
      <c r="I53" s="29"/>
      <c r="J53" s="4"/>
      <c r="K53" s="4"/>
      <c r="L53" s="4"/>
      <c r="M53" s="4"/>
      <c r="N53" s="4"/>
    </row>
    <row r="54" spans="1:18">
      <c r="C54" s="151"/>
      <c r="D54" s="152"/>
      <c r="E54" s="153"/>
      <c r="F54" s="153"/>
      <c r="G54" s="153"/>
      <c r="H54" s="154"/>
      <c r="I54" s="155"/>
      <c r="J54" s="156"/>
      <c r="K54" s="156"/>
      <c r="L54" s="156"/>
      <c r="M54" s="156"/>
      <c r="N54" s="156"/>
      <c r="O54" s="72"/>
    </row>
    <row r="55" spans="1:18" ht="60.75" customHeight="1">
      <c r="C55" s="651" t="s">
        <v>151</v>
      </c>
      <c r="D55" s="652"/>
      <c r="E55" s="652"/>
      <c r="F55" s="652"/>
      <c r="G55" s="652"/>
      <c r="H55" s="652"/>
      <c r="I55" s="652"/>
      <c r="J55" s="652"/>
      <c r="K55" s="652"/>
      <c r="L55" s="652"/>
      <c r="M55" s="652"/>
      <c r="N55" s="652"/>
      <c r="O55" s="653"/>
    </row>
    <row r="56" spans="1:18" ht="26.25" customHeight="1">
      <c r="C56" s="647"/>
      <c r="D56" s="648"/>
      <c r="E56" s="648"/>
      <c r="F56" s="648"/>
      <c r="G56" s="648"/>
      <c r="H56" s="648"/>
      <c r="I56" s="648"/>
      <c r="J56" s="648"/>
      <c r="K56" s="648"/>
      <c r="L56" s="648"/>
      <c r="M56" s="648"/>
      <c r="N56" s="648"/>
      <c r="O56" s="649"/>
    </row>
    <row r="57" spans="1:18" ht="15.75" customHeight="1">
      <c r="C57" s="28" t="s">
        <v>152</v>
      </c>
      <c r="D57" s="28"/>
      <c r="I57" s="29"/>
      <c r="J57" s="4"/>
      <c r="K57" s="4"/>
      <c r="L57" s="4"/>
      <c r="M57" s="4"/>
      <c r="N57" s="4"/>
      <c r="R57" s="201"/>
    </row>
    <row r="58" spans="1:18" ht="15.75" customHeight="1" thickBot="1">
      <c r="C58" s="30" t="s">
        <v>153</v>
      </c>
      <c r="D58" s="28"/>
      <c r="G58" s="31"/>
      <c r="H58" s="32"/>
      <c r="I58" s="33"/>
      <c r="J58" s="4"/>
      <c r="K58" s="4"/>
      <c r="L58" s="4"/>
      <c r="M58" s="4"/>
      <c r="N58" s="4"/>
      <c r="R58" s="201"/>
    </row>
    <row r="59" spans="1:18" ht="15.75" customHeight="1">
      <c r="C59" s="28"/>
      <c r="D59" s="28"/>
      <c r="F59" s="34"/>
      <c r="G59" s="35" t="s">
        <v>154</v>
      </c>
      <c r="H59" s="36" t="s">
        <v>155</v>
      </c>
      <c r="I59" s="37"/>
      <c r="J59" s="38"/>
      <c r="K59" s="4"/>
      <c r="L59" s="4"/>
      <c r="M59" s="4"/>
      <c r="N59" s="4"/>
      <c r="R59" s="201"/>
    </row>
    <row r="60" spans="1:18" ht="15.75" customHeight="1">
      <c r="C60" s="28"/>
      <c r="D60" s="28"/>
      <c r="F60" s="34"/>
      <c r="G60" s="39" t="s">
        <v>156</v>
      </c>
      <c r="H60" s="3" t="s">
        <v>157</v>
      </c>
      <c r="I60" s="40"/>
      <c r="J60" s="38"/>
      <c r="K60" s="4"/>
      <c r="L60" s="4"/>
      <c r="M60" s="4"/>
      <c r="N60" s="4"/>
      <c r="R60" s="201"/>
    </row>
    <row r="61" spans="1:18" ht="15.75" customHeight="1" thickBot="1">
      <c r="C61" s="28"/>
      <c r="D61" s="28"/>
      <c r="F61" s="34"/>
      <c r="G61" s="41" t="s">
        <v>158</v>
      </c>
      <c r="H61" s="42" t="s">
        <v>159</v>
      </c>
      <c r="I61" s="43"/>
      <c r="J61" s="38"/>
      <c r="K61" s="4"/>
      <c r="L61" s="4"/>
      <c r="M61" s="4"/>
      <c r="N61" s="4"/>
      <c r="R61" s="201"/>
    </row>
    <row r="62" spans="1:18">
      <c r="C62" s="44"/>
      <c r="D62" s="44"/>
      <c r="G62" s="45"/>
      <c r="H62" s="46"/>
      <c r="I62" s="47"/>
      <c r="J62" s="4"/>
      <c r="K62" s="4"/>
      <c r="L62" s="4"/>
      <c r="M62" s="4"/>
      <c r="N62" s="4"/>
    </row>
    <row r="63" spans="1:18">
      <c r="C63" s="28" t="s">
        <v>160</v>
      </c>
      <c r="D63" s="28"/>
      <c r="I63" s="29"/>
      <c r="J63" s="4"/>
      <c r="K63" s="4"/>
      <c r="L63" s="4"/>
      <c r="M63" s="4"/>
      <c r="N63" s="4"/>
      <c r="Q63" s="18"/>
      <c r="R63" s="201"/>
    </row>
    <row r="64" spans="1:18" ht="15.75" thickBot="1">
      <c r="C64" s="30" t="s">
        <v>161</v>
      </c>
      <c r="D64" s="28"/>
      <c r="E64" s="2" t="s">
        <v>162</v>
      </c>
      <c r="G64" s="31"/>
      <c r="H64" s="32"/>
      <c r="I64" s="29"/>
      <c r="J64" s="4"/>
      <c r="K64" s="4"/>
      <c r="L64" s="4"/>
      <c r="M64" s="4"/>
      <c r="N64" s="4"/>
      <c r="Q64" s="18"/>
      <c r="R64" s="201"/>
    </row>
    <row r="65" spans="3:37">
      <c r="C65" s="30"/>
      <c r="D65" s="30"/>
      <c r="E65" s="2" t="s">
        <v>163</v>
      </c>
      <c r="F65" s="34"/>
      <c r="G65" s="35" t="s">
        <v>154</v>
      </c>
      <c r="H65" s="148" t="s">
        <v>164</v>
      </c>
      <c r="I65" s="180"/>
      <c r="J65" s="4"/>
      <c r="K65" s="4"/>
      <c r="L65" s="4"/>
      <c r="M65" s="4"/>
      <c r="N65" s="4"/>
      <c r="Q65" s="18"/>
      <c r="R65" s="201"/>
    </row>
    <row r="66" spans="3:37">
      <c r="C66" s="30"/>
      <c r="D66" s="30"/>
      <c r="E66" s="2" t="s">
        <v>165</v>
      </c>
      <c r="F66" s="34"/>
      <c r="G66" s="39" t="s">
        <v>156</v>
      </c>
      <c r="H66" s="149" t="s">
        <v>166</v>
      </c>
      <c r="I66" s="180"/>
      <c r="J66" s="4"/>
      <c r="K66" s="4"/>
      <c r="L66" s="4"/>
      <c r="M66" s="4"/>
      <c r="N66" s="4"/>
      <c r="Q66" s="18"/>
      <c r="R66" s="201"/>
    </row>
    <row r="67" spans="3:37">
      <c r="C67" s="30"/>
      <c r="D67" s="30"/>
      <c r="E67" s="2" t="s">
        <v>167</v>
      </c>
      <c r="F67" s="34"/>
      <c r="G67" s="39" t="s">
        <v>158</v>
      </c>
      <c r="H67" s="149" t="s">
        <v>168</v>
      </c>
      <c r="I67" s="180"/>
      <c r="J67" s="4"/>
      <c r="K67" s="4"/>
      <c r="L67" s="4"/>
      <c r="M67" s="4"/>
      <c r="N67" s="4"/>
      <c r="O67" s="4"/>
      <c r="Q67" s="18"/>
      <c r="R67" s="201"/>
    </row>
    <row r="68" spans="3:37" ht="15.75" thickBot="1">
      <c r="C68" s="30"/>
      <c r="D68" s="30"/>
      <c r="E68" s="2" t="s">
        <v>169</v>
      </c>
      <c r="F68" s="34"/>
      <c r="G68" s="41" t="s">
        <v>170</v>
      </c>
      <c r="H68" s="150" t="s">
        <v>171</v>
      </c>
      <c r="I68" s="180"/>
      <c r="J68" s="4"/>
      <c r="K68" s="4"/>
      <c r="L68" s="4"/>
      <c r="M68" s="4"/>
      <c r="N68" s="4"/>
      <c r="Q68" s="18"/>
      <c r="R68" s="201"/>
    </row>
    <row r="69" spans="3:37">
      <c r="C69" s="30"/>
      <c r="D69" s="30"/>
      <c r="G69" s="45"/>
      <c r="H69" s="181"/>
      <c r="I69" s="29"/>
      <c r="J69" s="4"/>
      <c r="K69" s="4"/>
      <c r="L69" s="4"/>
      <c r="M69" s="4"/>
      <c r="N69" s="4"/>
    </row>
    <row r="70" spans="3:37">
      <c r="C70" s="30" t="s">
        <v>172</v>
      </c>
      <c r="D70" s="30"/>
      <c r="E70" s="48"/>
      <c r="F70" s="48"/>
      <c r="G70" s="48"/>
      <c r="I70" s="29"/>
      <c r="J70" s="4"/>
      <c r="K70" s="4"/>
      <c r="L70" s="4"/>
      <c r="M70" s="4"/>
      <c r="N70" s="4"/>
    </row>
    <row r="71" spans="3:37" s="2" customFormat="1">
      <c r="C71" s="9" t="s">
        <v>173</v>
      </c>
      <c r="D71" s="9"/>
      <c r="E71" s="2" t="s">
        <v>174</v>
      </c>
      <c r="H71" s="3"/>
      <c r="I71" s="29"/>
      <c r="J71" s="4"/>
      <c r="K71" s="4"/>
      <c r="L71" s="4"/>
      <c r="M71" s="4"/>
      <c r="N71" s="4"/>
      <c r="Q71" s="23"/>
      <c r="R71" s="200"/>
      <c r="S71" s="201"/>
      <c r="T71" s="201"/>
      <c r="U71" s="201"/>
      <c r="V71" s="201"/>
      <c r="W71" s="201"/>
      <c r="X71" s="18"/>
      <c r="Y71" s="18"/>
      <c r="Z71" s="18"/>
      <c r="AA71" s="18"/>
      <c r="AB71" s="18"/>
      <c r="AC71" s="18"/>
      <c r="AD71" s="18"/>
      <c r="AE71" s="18"/>
      <c r="AF71" s="18"/>
      <c r="AG71" s="18"/>
      <c r="AH71" s="18"/>
      <c r="AI71" s="18"/>
      <c r="AJ71" s="18"/>
      <c r="AK71" s="18"/>
    </row>
    <row r="72" spans="3:37" s="2" customFormat="1">
      <c r="C72" s="9"/>
      <c r="D72" s="9"/>
      <c r="H72" s="3"/>
      <c r="I72" s="29"/>
      <c r="J72" s="4"/>
      <c r="K72" s="4"/>
      <c r="L72" s="4"/>
      <c r="M72" s="4"/>
      <c r="N72" s="4"/>
      <c r="Q72" s="23"/>
      <c r="R72" s="200"/>
      <c r="S72" s="201"/>
      <c r="T72" s="201"/>
      <c r="U72" s="201"/>
      <c r="V72" s="201"/>
      <c r="W72" s="201"/>
      <c r="X72" s="18"/>
      <c r="Y72" s="18"/>
      <c r="Z72" s="18"/>
      <c r="AA72" s="18"/>
      <c r="AB72" s="18"/>
      <c r="AC72" s="18"/>
      <c r="AD72" s="18"/>
      <c r="AE72" s="18"/>
      <c r="AF72" s="18"/>
      <c r="AG72" s="18"/>
      <c r="AH72" s="18"/>
      <c r="AI72" s="18"/>
      <c r="AJ72" s="18"/>
      <c r="AK72" s="18"/>
    </row>
    <row r="73" spans="3:37" s="2" customFormat="1">
      <c r="C73" s="28" t="s">
        <v>175</v>
      </c>
      <c r="D73" s="28"/>
      <c r="H73" s="3"/>
      <c r="I73" s="29"/>
      <c r="J73" s="4"/>
      <c r="K73" s="4"/>
      <c r="L73" s="4"/>
      <c r="M73" s="4"/>
      <c r="N73" s="4"/>
      <c r="Q73" s="23"/>
      <c r="R73" s="200"/>
      <c r="S73" s="201"/>
      <c r="T73" s="201"/>
      <c r="U73" s="201"/>
      <c r="V73" s="201"/>
      <c r="W73" s="201"/>
      <c r="X73" s="18"/>
      <c r="Y73" s="18"/>
      <c r="Z73" s="18"/>
      <c r="AA73" s="18"/>
      <c r="AB73" s="18"/>
      <c r="AC73" s="18"/>
      <c r="AD73" s="18"/>
      <c r="AE73" s="18"/>
      <c r="AF73" s="18"/>
      <c r="AG73" s="18"/>
      <c r="AH73" s="18"/>
      <c r="AI73" s="18"/>
      <c r="AJ73" s="18"/>
      <c r="AK73" s="18"/>
    </row>
    <row r="74" spans="3:37" s="2" customFormat="1">
      <c r="C74" s="30" t="s">
        <v>176</v>
      </c>
      <c r="D74" s="30"/>
      <c r="H74" s="3"/>
      <c r="I74" s="29"/>
      <c r="J74" s="4"/>
      <c r="K74" s="4"/>
      <c r="L74" s="4"/>
      <c r="M74" s="4"/>
      <c r="N74" s="4"/>
      <c r="Q74" s="23"/>
      <c r="R74" s="200"/>
      <c r="S74" s="201"/>
      <c r="T74" s="201"/>
      <c r="U74" s="201"/>
      <c r="V74" s="201"/>
      <c r="W74" s="201"/>
      <c r="X74" s="18"/>
      <c r="Y74" s="18"/>
      <c r="Z74" s="18"/>
      <c r="AA74" s="18"/>
      <c r="AB74" s="18"/>
      <c r="AC74" s="18"/>
      <c r="AD74" s="18"/>
      <c r="AE74" s="18"/>
      <c r="AF74" s="18"/>
      <c r="AG74" s="18"/>
      <c r="AH74" s="18"/>
      <c r="AI74" s="18"/>
      <c r="AJ74" s="18"/>
      <c r="AK74" s="18"/>
    </row>
    <row r="75" spans="3:37" s="2" customFormat="1">
      <c r="C75" s="9"/>
      <c r="D75" s="9"/>
      <c r="H75" s="49"/>
      <c r="I75" s="50"/>
      <c r="J75" s="4"/>
      <c r="K75" s="4"/>
      <c r="L75" s="4"/>
      <c r="M75" s="4"/>
      <c r="N75" s="4"/>
      <c r="Q75" s="23"/>
      <c r="R75" s="200"/>
      <c r="S75" s="201"/>
      <c r="T75" s="201"/>
      <c r="U75" s="201"/>
      <c r="V75" s="201"/>
      <c r="W75" s="201"/>
      <c r="X75" s="18"/>
      <c r="Y75" s="18"/>
      <c r="Z75" s="18"/>
      <c r="AA75" s="18"/>
      <c r="AB75" s="18"/>
      <c r="AC75" s="18"/>
      <c r="AD75" s="18"/>
      <c r="AE75" s="18"/>
      <c r="AF75" s="18"/>
      <c r="AG75" s="18"/>
      <c r="AH75" s="18"/>
      <c r="AI75" s="18"/>
      <c r="AJ75" s="18"/>
      <c r="AK75" s="18"/>
    </row>
    <row r="76" spans="3:37">
      <c r="C76" s="28" t="s">
        <v>177</v>
      </c>
      <c r="D76" s="28"/>
      <c r="H76" s="49"/>
      <c r="I76" s="50"/>
      <c r="J76" s="48"/>
      <c r="K76" s="48"/>
      <c r="L76" s="51"/>
      <c r="M76" s="4"/>
      <c r="N76" s="4"/>
    </row>
    <row r="77" spans="3:37">
      <c r="C77" s="30" t="s">
        <v>178</v>
      </c>
      <c r="D77" s="52" t="s">
        <v>179</v>
      </c>
      <c r="E77" s="52"/>
      <c r="F77" s="52"/>
      <c r="H77" s="49"/>
      <c r="I77" s="2"/>
      <c r="J77" s="48"/>
      <c r="K77" s="48"/>
      <c r="L77" s="51"/>
      <c r="M77" s="4"/>
      <c r="N77" s="4"/>
    </row>
    <row r="78" spans="3:37">
      <c r="C78" s="30"/>
      <c r="D78" s="30"/>
      <c r="E78" s="48"/>
      <c r="F78" s="48"/>
      <c r="G78" s="48"/>
      <c r="H78" s="49"/>
      <c r="I78" s="50"/>
      <c r="J78" s="48"/>
      <c r="K78" s="48"/>
      <c r="L78" s="48"/>
      <c r="M78" s="4"/>
      <c r="N78" s="4"/>
    </row>
    <row r="79" spans="3:37">
      <c r="C79" s="182" t="s">
        <v>180</v>
      </c>
      <c r="D79" s="182"/>
      <c r="E79" s="48"/>
      <c r="F79" s="48"/>
      <c r="G79" s="48"/>
      <c r="H79" s="49"/>
      <c r="J79" s="48"/>
      <c r="K79" s="48"/>
      <c r="L79" s="48"/>
      <c r="M79" s="4"/>
      <c r="N79" s="4"/>
      <c r="Q79" s="26"/>
      <c r="R79" s="203"/>
      <c r="S79" s="203"/>
      <c r="T79" s="203"/>
      <c r="U79" s="203"/>
      <c r="V79" s="203"/>
      <c r="W79" s="203"/>
    </row>
    <row r="80" spans="3:37" ht="15" customHeight="1" thickBot="1">
      <c r="C80" s="44" t="s">
        <v>181</v>
      </c>
      <c r="D80" s="44"/>
      <c r="E80" s="48"/>
      <c r="F80" s="54"/>
      <c r="G80" s="54"/>
      <c r="H80" s="55"/>
      <c r="J80" s="48"/>
      <c r="K80" s="48"/>
      <c r="L80" s="48"/>
      <c r="M80" s="4"/>
      <c r="N80" s="4"/>
    </row>
    <row r="81" spans="2:23" ht="26.25">
      <c r="C81" s="182"/>
      <c r="D81" s="182"/>
      <c r="E81" s="183"/>
      <c r="F81" s="184"/>
      <c r="G81" s="185" t="s">
        <v>182</v>
      </c>
      <c r="H81" s="186" t="s">
        <v>183</v>
      </c>
      <c r="I81" s="180"/>
      <c r="J81" s="48"/>
      <c r="K81" s="48"/>
      <c r="L81" s="48"/>
      <c r="M81" s="4"/>
      <c r="N81" s="4"/>
    </row>
    <row r="82" spans="2:23">
      <c r="C82" s="18"/>
      <c r="D82" s="18"/>
      <c r="E82" s="183"/>
      <c r="F82" s="184"/>
      <c r="G82" s="39" t="s">
        <v>154</v>
      </c>
      <c r="H82" s="56" t="s">
        <v>184</v>
      </c>
      <c r="I82" s="180"/>
      <c r="J82" s="48"/>
      <c r="K82" s="48"/>
      <c r="L82" s="48"/>
      <c r="M82" s="4"/>
      <c r="N82" s="4"/>
    </row>
    <row r="83" spans="2:23">
      <c r="C83" s="30"/>
      <c r="D83" s="30"/>
      <c r="E83" s="183"/>
      <c r="F83" s="184"/>
      <c r="G83" s="39" t="s">
        <v>156</v>
      </c>
      <c r="H83" s="56" t="s">
        <v>185</v>
      </c>
      <c r="I83" s="180"/>
      <c r="J83" s="48"/>
      <c r="K83" s="48"/>
      <c r="L83" s="48"/>
      <c r="M83" s="4"/>
      <c r="N83" s="4"/>
    </row>
    <row r="84" spans="2:23" ht="15.75" thickBot="1">
      <c r="C84" s="18"/>
      <c r="D84" s="49"/>
      <c r="E84" s="184"/>
      <c r="F84" s="184"/>
      <c r="G84" s="41" t="s">
        <v>158</v>
      </c>
      <c r="H84" s="57" t="s">
        <v>186</v>
      </c>
      <c r="I84" s="180"/>
      <c r="J84" s="48"/>
      <c r="K84" s="48"/>
      <c r="L84" s="48"/>
      <c r="M84" s="4"/>
      <c r="N84" s="4"/>
    </row>
    <row r="85" spans="2:23">
      <c r="C85" s="30"/>
      <c r="D85" s="30"/>
      <c r="E85" s="48"/>
      <c r="F85" s="58"/>
      <c r="G85" s="58"/>
      <c r="H85" s="59"/>
      <c r="I85" s="50"/>
      <c r="J85" s="48"/>
      <c r="K85" s="48"/>
      <c r="L85" s="48"/>
      <c r="M85" s="4"/>
      <c r="N85" s="4"/>
    </row>
    <row r="86" spans="2:23" ht="15.75" thickBot="1">
      <c r="C86" s="60"/>
      <c r="D86" s="60"/>
      <c r="E86" s="54"/>
      <c r="F86" s="54"/>
      <c r="G86" s="54"/>
      <c r="H86" s="55"/>
      <c r="I86" s="61"/>
      <c r="J86" s="31"/>
      <c r="K86" s="31"/>
      <c r="L86" s="55"/>
      <c r="M86" s="62"/>
      <c r="N86" s="62"/>
    </row>
    <row r="87" spans="2:23">
      <c r="B87" s="34"/>
      <c r="C87" s="63" t="s">
        <v>187</v>
      </c>
      <c r="D87" s="64"/>
      <c r="E87" s="65"/>
      <c r="F87" s="65"/>
      <c r="G87" s="65"/>
      <c r="H87" s="66"/>
      <c r="I87" s="67"/>
      <c r="J87" s="68"/>
      <c r="K87" s="68"/>
      <c r="L87" s="69"/>
      <c r="M87" s="70"/>
      <c r="N87" s="71"/>
      <c r="O87" s="72"/>
      <c r="Q87" s="187"/>
      <c r="S87" s="204"/>
      <c r="T87" s="204"/>
      <c r="U87" s="204"/>
      <c r="V87" s="204"/>
      <c r="W87" s="204"/>
    </row>
    <row r="88" spans="2:23" s="73" customFormat="1" ht="39">
      <c r="B88" s="74"/>
      <c r="C88" s="75" t="s">
        <v>188</v>
      </c>
      <c r="D88" s="76"/>
      <c r="E88" s="77"/>
      <c r="F88" s="77"/>
      <c r="G88" s="77"/>
      <c r="H88" s="49"/>
      <c r="I88" s="53"/>
      <c r="L88" s="78" t="s">
        <v>189</v>
      </c>
      <c r="M88" s="78" t="s">
        <v>190</v>
      </c>
      <c r="N88" s="56"/>
      <c r="O88" s="72"/>
      <c r="P88" s="2"/>
      <c r="Q88" s="23"/>
      <c r="R88" s="205"/>
      <c r="S88" s="201"/>
      <c r="T88" s="201"/>
      <c r="U88" s="201"/>
      <c r="V88" s="201"/>
      <c r="W88" s="201"/>
    </row>
    <row r="89" spans="2:23">
      <c r="B89" s="34"/>
      <c r="C89" s="79" t="s">
        <v>191</v>
      </c>
      <c r="D89" s="49"/>
      <c r="E89" s="48"/>
      <c r="F89" s="48"/>
      <c r="G89" s="48"/>
      <c r="H89" s="49"/>
      <c r="J89" s="18"/>
      <c r="K89" s="18"/>
      <c r="L89" s="17">
        <v>0.45434439852165637</v>
      </c>
      <c r="M89" s="17"/>
      <c r="N89" s="56"/>
      <c r="O89" s="72"/>
    </row>
    <row r="90" spans="2:23">
      <c r="B90" s="34"/>
      <c r="C90" s="79" t="s">
        <v>192</v>
      </c>
      <c r="D90" s="49"/>
      <c r="E90" s="48"/>
      <c r="F90" s="48"/>
      <c r="G90" s="48"/>
      <c r="H90" s="49"/>
      <c r="J90" s="18"/>
      <c r="K90" s="18"/>
      <c r="L90" s="17">
        <v>0.66896699109890601</v>
      </c>
      <c r="M90" s="17">
        <v>1.2710372830879213</v>
      </c>
      <c r="N90" s="56"/>
      <c r="O90" s="72"/>
    </row>
    <row r="91" spans="2:23">
      <c r="B91" s="34"/>
      <c r="C91" s="80" t="s">
        <v>193</v>
      </c>
      <c r="D91" s="48"/>
      <c r="E91" s="48"/>
      <c r="F91" s="48"/>
      <c r="G91" s="48"/>
      <c r="H91" s="49"/>
      <c r="J91" s="18"/>
      <c r="K91" s="18"/>
      <c r="L91" s="17" t="s">
        <v>194</v>
      </c>
      <c r="M91" s="17">
        <v>1.0897166433292849</v>
      </c>
      <c r="N91" s="56"/>
      <c r="O91" s="72"/>
    </row>
    <row r="92" spans="2:23">
      <c r="B92" s="34"/>
      <c r="C92" s="79" t="s">
        <v>195</v>
      </c>
      <c r="D92" s="49"/>
      <c r="E92" s="48"/>
      <c r="F92" s="48"/>
      <c r="G92" s="48"/>
      <c r="H92" s="49"/>
      <c r="J92" s="18"/>
      <c r="K92" s="18"/>
      <c r="L92" s="17">
        <v>1.8731075750769375</v>
      </c>
      <c r="M92" s="17"/>
      <c r="N92" s="56"/>
      <c r="O92" s="72"/>
    </row>
    <row r="93" spans="2:23">
      <c r="B93" s="34"/>
      <c r="C93" s="80" t="s">
        <v>196</v>
      </c>
      <c r="D93" s="48"/>
      <c r="E93" s="48"/>
      <c r="F93" s="48"/>
      <c r="G93" s="48"/>
      <c r="H93" s="49"/>
      <c r="I93" s="50"/>
      <c r="J93" s="18"/>
      <c r="K93" s="18"/>
      <c r="L93" s="17">
        <v>1.6724174777472653</v>
      </c>
      <c r="M93" s="48"/>
      <c r="N93" s="56"/>
      <c r="O93" s="72"/>
    </row>
    <row r="94" spans="2:23">
      <c r="B94" s="34"/>
      <c r="C94" s="80" t="s">
        <v>197</v>
      </c>
      <c r="D94" s="48"/>
      <c r="E94" s="48"/>
      <c r="F94" s="48"/>
      <c r="G94" s="48"/>
      <c r="H94" s="49"/>
      <c r="I94" s="50"/>
      <c r="J94" s="18"/>
      <c r="K94" s="18"/>
      <c r="L94" s="17">
        <v>0.66896699109890601</v>
      </c>
      <c r="M94" s="48"/>
      <c r="N94" s="56"/>
      <c r="O94" s="72"/>
    </row>
    <row r="95" spans="2:23">
      <c r="B95" s="34"/>
      <c r="C95" s="80"/>
      <c r="D95" s="48"/>
      <c r="E95" s="48"/>
      <c r="F95" s="48"/>
      <c r="G95" s="48"/>
      <c r="H95" s="49"/>
      <c r="I95" s="50"/>
      <c r="J95" s="48"/>
      <c r="K95" s="48"/>
      <c r="L95" s="48"/>
      <c r="M95" s="4"/>
      <c r="N95" s="56"/>
      <c r="O95" s="72"/>
    </row>
    <row r="96" spans="2:23">
      <c r="B96" s="34"/>
      <c r="C96" s="81" t="s">
        <v>198</v>
      </c>
      <c r="D96" s="28"/>
      <c r="E96" s="48"/>
      <c r="F96" s="48"/>
      <c r="G96" s="48"/>
      <c r="H96" s="49"/>
      <c r="I96" s="50"/>
      <c r="J96" s="48"/>
      <c r="K96" s="48"/>
      <c r="L96" s="48"/>
      <c r="M96" s="4"/>
      <c r="N96" s="56"/>
      <c r="O96" s="72"/>
    </row>
    <row r="97" spans="2:23">
      <c r="B97" s="34"/>
      <c r="C97" s="82" t="s">
        <v>199</v>
      </c>
      <c r="D97" s="44"/>
      <c r="E97" s="48"/>
      <c r="F97" s="48"/>
      <c r="G97" s="48"/>
      <c r="H97" s="49"/>
      <c r="I97" s="50"/>
      <c r="J97" s="48"/>
      <c r="K97" s="48"/>
      <c r="L97" s="48"/>
      <c r="M97" s="4"/>
      <c r="N97" s="56"/>
      <c r="O97" s="72"/>
    </row>
    <row r="98" spans="2:23">
      <c r="B98" s="34"/>
      <c r="C98" s="82" t="s">
        <v>200</v>
      </c>
      <c r="D98" s="44"/>
      <c r="E98" s="48"/>
      <c r="F98" s="48"/>
      <c r="G98" s="48"/>
      <c r="H98" s="49"/>
      <c r="I98" s="50"/>
      <c r="J98" s="48"/>
      <c r="K98" s="48"/>
      <c r="L98" s="48"/>
      <c r="M98" s="4"/>
      <c r="N98" s="56"/>
      <c r="O98" s="72"/>
    </row>
    <row r="99" spans="2:23">
      <c r="B99" s="34"/>
      <c r="C99" s="82" t="s">
        <v>201</v>
      </c>
      <c r="D99" s="44"/>
      <c r="E99" s="48"/>
      <c r="F99" s="48"/>
      <c r="G99" s="48"/>
      <c r="H99" s="49"/>
      <c r="I99" s="50"/>
      <c r="J99" s="48"/>
      <c r="K99" s="48"/>
      <c r="L99" s="48"/>
      <c r="M99" s="4"/>
      <c r="N99" s="56"/>
      <c r="O99" s="72"/>
    </row>
    <row r="100" spans="2:23">
      <c r="B100" s="34"/>
      <c r="C100" s="82" t="s">
        <v>202</v>
      </c>
      <c r="D100" s="44"/>
      <c r="E100" s="48"/>
      <c r="F100" s="48"/>
      <c r="G100" s="48"/>
      <c r="H100" s="49"/>
      <c r="I100" s="50"/>
      <c r="J100" s="48"/>
      <c r="K100" s="48"/>
      <c r="L100" s="48"/>
      <c r="M100" s="4"/>
      <c r="N100" s="56"/>
      <c r="O100" s="72"/>
    </row>
    <row r="101" spans="2:23">
      <c r="B101" s="34"/>
      <c r="C101" s="82" t="s">
        <v>203</v>
      </c>
      <c r="D101" s="44"/>
      <c r="E101" s="48"/>
      <c r="F101" s="48"/>
      <c r="G101" s="48"/>
      <c r="H101" s="49"/>
      <c r="I101" s="50"/>
      <c r="J101" s="48"/>
      <c r="K101" s="48"/>
      <c r="L101" s="48"/>
      <c r="M101" s="4"/>
      <c r="N101" s="56"/>
      <c r="O101" s="72"/>
    </row>
    <row r="102" spans="2:23">
      <c r="B102" s="34"/>
      <c r="C102" s="82" t="s">
        <v>204</v>
      </c>
      <c r="D102" s="44"/>
      <c r="E102" s="48"/>
      <c r="F102" s="48"/>
      <c r="G102" s="48"/>
      <c r="H102" s="49"/>
      <c r="I102" s="50"/>
      <c r="J102" s="48"/>
      <c r="K102" s="48"/>
      <c r="L102" s="48"/>
      <c r="M102" s="4"/>
      <c r="N102" s="56"/>
      <c r="O102" s="72"/>
    </row>
    <row r="103" spans="2:23">
      <c r="B103" s="34"/>
      <c r="C103" s="82" t="s">
        <v>205</v>
      </c>
      <c r="D103" s="44"/>
      <c r="E103" s="48"/>
      <c r="F103" s="48"/>
      <c r="G103" s="48"/>
      <c r="H103" s="49"/>
      <c r="I103" s="50"/>
      <c r="J103" s="48"/>
      <c r="K103" s="48"/>
      <c r="L103" s="48"/>
      <c r="M103" s="4"/>
      <c r="N103" s="56"/>
      <c r="O103" s="72"/>
      <c r="Q103" s="188"/>
      <c r="S103" s="206"/>
      <c r="T103" s="206"/>
      <c r="U103" s="206"/>
    </row>
    <row r="104" spans="2:23">
      <c r="B104" s="34"/>
      <c r="C104" s="82" t="s">
        <v>206</v>
      </c>
      <c r="D104" s="44"/>
      <c r="E104" s="48"/>
      <c r="F104" s="48"/>
      <c r="G104" s="48"/>
      <c r="H104" s="49"/>
      <c r="I104" s="50"/>
      <c r="J104" s="48"/>
      <c r="K104" s="48"/>
      <c r="L104" s="48"/>
      <c r="M104" s="4"/>
      <c r="N104" s="56"/>
      <c r="O104" s="72"/>
      <c r="Q104" s="188"/>
      <c r="R104" s="207"/>
      <c r="S104" s="206"/>
      <c r="T104" s="206"/>
      <c r="U104" s="206"/>
    </row>
    <row r="105" spans="2:23">
      <c r="B105" s="34"/>
      <c r="C105" s="189" t="s">
        <v>207</v>
      </c>
      <c r="D105" s="30"/>
      <c r="E105" s="48"/>
      <c r="F105" s="48"/>
      <c r="G105" s="48"/>
      <c r="H105" s="49"/>
      <c r="I105" s="50"/>
      <c r="J105" s="48"/>
      <c r="K105" s="48"/>
      <c r="L105" s="48"/>
      <c r="M105" s="4"/>
      <c r="N105" s="56"/>
      <c r="O105" s="72"/>
      <c r="R105" s="207"/>
      <c r="V105" s="206"/>
    </row>
    <row r="106" spans="2:23">
      <c r="B106" s="34"/>
      <c r="C106" s="189" t="s">
        <v>208</v>
      </c>
      <c r="D106" s="30"/>
      <c r="E106" s="48"/>
      <c r="F106" s="48"/>
      <c r="G106" s="48"/>
      <c r="H106" s="49"/>
      <c r="I106" s="50"/>
      <c r="J106" s="48"/>
      <c r="K106" s="48"/>
      <c r="L106" s="48"/>
      <c r="M106" s="4"/>
      <c r="N106" s="56"/>
      <c r="O106" s="72"/>
      <c r="V106" s="206"/>
    </row>
    <row r="107" spans="2:23">
      <c r="B107" s="34"/>
      <c r="C107" s="189" t="s">
        <v>209</v>
      </c>
      <c r="D107" s="30"/>
      <c r="E107" s="48"/>
      <c r="F107" s="48"/>
      <c r="G107" s="48"/>
      <c r="H107" s="49"/>
      <c r="I107" s="50"/>
      <c r="J107" s="48"/>
      <c r="K107" s="48"/>
      <c r="L107" s="48"/>
      <c r="M107" s="4"/>
      <c r="N107" s="56"/>
      <c r="O107" s="72"/>
      <c r="W107" s="206"/>
    </row>
    <row r="108" spans="2:23">
      <c r="B108" s="34"/>
      <c r="C108" s="82" t="s">
        <v>210</v>
      </c>
      <c r="D108" s="44"/>
      <c r="E108" s="48"/>
      <c r="F108" s="48"/>
      <c r="G108" s="48"/>
      <c r="H108" s="49"/>
      <c r="I108" s="50"/>
      <c r="J108" s="48"/>
      <c r="K108" s="48"/>
      <c r="L108" s="48"/>
      <c r="M108" s="4"/>
      <c r="N108" s="56"/>
      <c r="O108" s="72"/>
      <c r="W108" s="206"/>
    </row>
    <row r="109" spans="2:23">
      <c r="B109" s="34"/>
      <c r="C109" s="82" t="s">
        <v>211</v>
      </c>
      <c r="D109" s="44"/>
      <c r="E109" s="48"/>
      <c r="F109" s="48"/>
      <c r="G109" s="48"/>
      <c r="H109" s="49"/>
      <c r="I109" s="50"/>
      <c r="J109" s="48"/>
      <c r="K109" s="48"/>
      <c r="L109" s="48"/>
      <c r="M109" s="4"/>
      <c r="N109" s="56"/>
      <c r="O109" s="72"/>
      <c r="W109" s="206"/>
    </row>
    <row r="110" spans="2:23">
      <c r="B110" s="34"/>
      <c r="C110" s="82" t="s">
        <v>212</v>
      </c>
      <c r="D110" s="44"/>
      <c r="E110" s="48"/>
      <c r="F110" s="83"/>
      <c r="G110" s="48"/>
      <c r="H110" s="49"/>
      <c r="I110" s="50"/>
      <c r="J110" s="48"/>
      <c r="K110" s="48"/>
      <c r="L110" s="48"/>
      <c r="M110" s="4"/>
      <c r="N110" s="56"/>
      <c r="O110" s="72"/>
      <c r="W110" s="206"/>
    </row>
    <row r="111" spans="2:23">
      <c r="B111" s="34"/>
      <c r="C111" s="84"/>
      <c r="D111" s="44"/>
      <c r="E111" s="48"/>
      <c r="F111" s="171" t="s">
        <v>213</v>
      </c>
      <c r="G111" s="48"/>
      <c r="H111" s="49"/>
      <c r="I111" s="50"/>
      <c r="J111" s="48"/>
      <c r="K111" s="48"/>
      <c r="L111" s="48"/>
      <c r="M111" s="4"/>
      <c r="N111" s="56"/>
      <c r="O111" s="72"/>
      <c r="W111" s="206"/>
    </row>
    <row r="112" spans="2:23">
      <c r="B112" s="34"/>
      <c r="C112" s="84"/>
      <c r="D112" s="44"/>
      <c r="E112" s="48"/>
      <c r="F112" s="171" t="s">
        <v>214</v>
      </c>
      <c r="G112" s="48"/>
      <c r="H112" s="49"/>
      <c r="I112" s="50"/>
      <c r="J112" s="48"/>
      <c r="K112" s="48"/>
      <c r="L112" s="48"/>
      <c r="M112" s="4"/>
      <c r="N112" s="56"/>
      <c r="O112" s="72"/>
      <c r="W112" s="206"/>
    </row>
    <row r="113" spans="2:23">
      <c r="B113" s="34"/>
      <c r="C113" s="84"/>
      <c r="D113" s="44"/>
      <c r="E113" s="48"/>
      <c r="F113" s="171" t="s">
        <v>215</v>
      </c>
      <c r="G113" s="48"/>
      <c r="H113" s="49"/>
      <c r="I113" s="50"/>
      <c r="J113" s="48"/>
      <c r="K113" s="48"/>
      <c r="L113" s="48"/>
      <c r="M113" s="4"/>
      <c r="N113" s="56"/>
      <c r="O113" s="72"/>
      <c r="W113" s="206"/>
    </row>
    <row r="114" spans="2:23" s="88" customFormat="1" ht="15.75" thickBot="1">
      <c r="B114" s="34"/>
      <c r="C114" s="190" t="s">
        <v>216</v>
      </c>
      <c r="D114" s="191"/>
      <c r="E114" s="85"/>
      <c r="F114" s="85"/>
      <c r="G114" s="85"/>
      <c r="H114" s="86"/>
      <c r="I114" s="192"/>
      <c r="J114" s="87"/>
      <c r="K114" s="87"/>
      <c r="L114" s="87"/>
      <c r="M114" s="87"/>
      <c r="N114" s="57"/>
      <c r="O114" s="72"/>
      <c r="P114" s="2"/>
      <c r="Q114" s="23"/>
      <c r="R114" s="200"/>
      <c r="S114" s="201"/>
      <c r="T114" s="201"/>
      <c r="U114" s="201"/>
      <c r="V114" s="201"/>
      <c r="W114" s="201"/>
    </row>
    <row r="115" spans="2:23" s="88" customFormat="1" ht="15.75" thickBot="1">
      <c r="B115" s="2"/>
      <c r="C115" s="89"/>
      <c r="D115" s="89"/>
      <c r="E115" s="90"/>
      <c r="F115" s="90"/>
      <c r="G115" s="90"/>
      <c r="H115" s="91"/>
      <c r="I115" s="92"/>
      <c r="J115" s="93"/>
      <c r="K115" s="93"/>
      <c r="L115" s="93"/>
      <c r="M115" s="93"/>
      <c r="N115" s="93"/>
      <c r="O115" s="2"/>
      <c r="P115" s="2"/>
      <c r="Q115" s="23"/>
      <c r="R115" s="200"/>
      <c r="S115" s="201"/>
      <c r="T115" s="201"/>
      <c r="U115" s="201"/>
      <c r="V115" s="201"/>
      <c r="W115" s="201"/>
    </row>
    <row r="116" spans="2:23" s="88" customFormat="1">
      <c r="B116" s="34"/>
      <c r="C116" s="63" t="s">
        <v>217</v>
      </c>
      <c r="D116" s="64"/>
      <c r="E116" s="65"/>
      <c r="F116" s="65"/>
      <c r="G116" s="65"/>
      <c r="H116" s="66"/>
      <c r="I116" s="94"/>
      <c r="J116" s="95"/>
      <c r="K116" s="70"/>
      <c r="L116" s="70"/>
      <c r="M116" s="70"/>
      <c r="N116" s="71"/>
      <c r="O116" s="72"/>
      <c r="P116" s="2"/>
      <c r="Q116" s="23"/>
      <c r="R116" s="200"/>
      <c r="S116" s="201"/>
      <c r="T116" s="201"/>
      <c r="U116" s="201"/>
      <c r="V116" s="201"/>
      <c r="W116" s="201"/>
    </row>
    <row r="117" spans="2:23">
      <c r="B117" s="34"/>
      <c r="C117" s="193" t="s">
        <v>218</v>
      </c>
      <c r="D117" s="182"/>
      <c r="E117" s="48"/>
      <c r="F117" s="48"/>
      <c r="G117" s="48"/>
      <c r="H117" s="49"/>
      <c r="I117" s="50"/>
      <c r="J117" s="96"/>
      <c r="K117" s="4"/>
      <c r="L117" s="4"/>
      <c r="M117" s="4"/>
      <c r="N117" s="56"/>
      <c r="O117" s="72"/>
    </row>
    <row r="118" spans="2:23">
      <c r="B118" s="34"/>
      <c r="C118" s="82" t="s">
        <v>219</v>
      </c>
      <c r="D118" s="44"/>
      <c r="E118" s="48"/>
      <c r="F118" s="48"/>
      <c r="G118" s="48"/>
      <c r="H118" s="49"/>
      <c r="I118" s="50"/>
      <c r="J118" s="96"/>
      <c r="K118" s="4"/>
      <c r="L118" s="4"/>
      <c r="M118" s="4"/>
      <c r="N118" s="56"/>
      <c r="O118" s="72"/>
    </row>
    <row r="119" spans="2:23">
      <c r="B119" s="34"/>
      <c r="C119" s="97">
        <v>0.24137046171462989</v>
      </c>
      <c r="D119" s="17"/>
      <c r="E119" s="18"/>
      <c r="F119" s="49" t="s">
        <v>220</v>
      </c>
      <c r="G119" s="49"/>
      <c r="H119" s="49"/>
      <c r="I119" s="50"/>
      <c r="J119" s="96"/>
      <c r="K119" s="4"/>
      <c r="L119" s="4"/>
      <c r="M119" s="4"/>
      <c r="N119" s="56"/>
      <c r="O119" s="72"/>
    </row>
    <row r="120" spans="2:23">
      <c r="B120" s="34"/>
      <c r="C120" s="97">
        <v>0.40110091431989986</v>
      </c>
      <c r="D120" s="17"/>
      <c r="E120" s="18"/>
      <c r="F120" s="49" t="s">
        <v>221</v>
      </c>
      <c r="G120" s="49"/>
      <c r="N120" s="98"/>
      <c r="O120" s="72"/>
    </row>
    <row r="121" spans="2:23">
      <c r="B121" s="34"/>
      <c r="C121" s="97">
        <v>0.48392411196707663</v>
      </c>
      <c r="D121" s="17"/>
      <c r="E121" s="18"/>
      <c r="F121" s="49" t="s">
        <v>222</v>
      </c>
      <c r="G121" s="49"/>
      <c r="H121" s="99"/>
      <c r="I121" s="100"/>
      <c r="J121" s="101"/>
      <c r="N121" s="98"/>
      <c r="O121" s="72"/>
    </row>
    <row r="122" spans="2:23" ht="15.75" thickBot="1">
      <c r="B122" s="34"/>
      <c r="C122" s="102">
        <v>0.63418905626981215</v>
      </c>
      <c r="D122" s="103"/>
      <c r="E122" s="194"/>
      <c r="F122" s="86" t="s">
        <v>223</v>
      </c>
      <c r="G122" s="86"/>
      <c r="H122" s="42"/>
      <c r="I122" s="194"/>
      <c r="J122" s="104"/>
      <c r="K122" s="105"/>
      <c r="L122" s="105"/>
      <c r="M122" s="105"/>
      <c r="N122" s="123"/>
      <c r="O122" s="72"/>
    </row>
    <row r="123" spans="2:23" ht="15.75" thickBot="1">
      <c r="C123" s="106"/>
      <c r="D123" s="106"/>
      <c r="E123" s="107"/>
      <c r="F123" s="107"/>
      <c r="G123" s="107"/>
      <c r="H123" s="108"/>
      <c r="I123" s="109"/>
      <c r="J123" s="110"/>
      <c r="K123" s="107"/>
      <c r="L123" s="107"/>
      <c r="M123" s="107"/>
      <c r="N123" s="107"/>
    </row>
    <row r="124" spans="2:23">
      <c r="B124" s="34"/>
      <c r="C124" s="63" t="s">
        <v>224</v>
      </c>
      <c r="D124" s="64"/>
      <c r="E124" s="111"/>
      <c r="F124" s="111"/>
      <c r="G124" s="111"/>
      <c r="H124" s="36"/>
      <c r="I124" s="112"/>
      <c r="J124" s="113"/>
      <c r="K124" s="114"/>
      <c r="L124" s="114"/>
      <c r="M124" s="114"/>
      <c r="N124" s="127"/>
      <c r="O124" s="72"/>
    </row>
    <row r="125" spans="2:23">
      <c r="B125" s="34"/>
      <c r="C125" s="82" t="s">
        <v>225</v>
      </c>
      <c r="D125" s="44"/>
      <c r="E125" s="115"/>
      <c r="F125" s="115"/>
      <c r="G125" s="115"/>
      <c r="K125" s="18"/>
      <c r="L125" s="116"/>
      <c r="M125" s="3"/>
      <c r="N125" s="195"/>
      <c r="O125" s="72"/>
      <c r="P125" s="18"/>
    </row>
    <row r="126" spans="2:23">
      <c r="B126" s="34"/>
      <c r="C126" s="82" t="s">
        <v>226</v>
      </c>
      <c r="D126" s="44"/>
      <c r="E126" s="117"/>
      <c r="F126" s="117"/>
      <c r="G126" s="117"/>
      <c r="N126" s="98"/>
      <c r="O126" s="72"/>
    </row>
    <row r="127" spans="2:23">
      <c r="B127" s="34"/>
      <c r="C127" s="82" t="s">
        <v>227</v>
      </c>
      <c r="D127" s="44"/>
      <c r="E127" s="118"/>
      <c r="F127" s="118"/>
      <c r="G127" s="118"/>
      <c r="N127" s="98"/>
      <c r="O127" s="72"/>
    </row>
    <row r="128" spans="2:23">
      <c r="B128" s="34"/>
      <c r="C128" s="82" t="s">
        <v>228</v>
      </c>
      <c r="D128" s="44"/>
      <c r="E128" s="118"/>
      <c r="F128" s="118"/>
      <c r="G128" s="118"/>
      <c r="N128" s="98"/>
      <c r="O128" s="72"/>
    </row>
    <row r="129" spans="2:21">
      <c r="B129" s="34"/>
      <c r="C129" s="82" t="s">
        <v>229</v>
      </c>
      <c r="D129" s="44"/>
      <c r="H129" s="49"/>
      <c r="I129" s="50"/>
      <c r="J129" s="48"/>
      <c r="K129" s="48"/>
      <c r="N129" s="98"/>
      <c r="O129" s="72"/>
    </row>
    <row r="130" spans="2:21">
      <c r="B130" s="34"/>
      <c r="C130" s="80"/>
      <c r="D130" s="48"/>
      <c r="H130" s="49"/>
      <c r="I130" s="50"/>
      <c r="J130" s="48"/>
      <c r="K130" s="48"/>
      <c r="N130" s="98"/>
      <c r="O130" s="72"/>
    </row>
    <row r="131" spans="2:21">
      <c r="B131" s="34"/>
      <c r="C131" s="80" t="s">
        <v>230</v>
      </c>
      <c r="D131" s="48"/>
      <c r="E131" s="48"/>
      <c r="F131" s="48"/>
      <c r="G131" s="48"/>
      <c r="H131" s="49"/>
      <c r="I131" s="50"/>
      <c r="J131" s="48"/>
      <c r="K131" s="48"/>
      <c r="N131" s="98"/>
      <c r="O131" s="72"/>
    </row>
    <row r="132" spans="2:21">
      <c r="B132" s="34"/>
      <c r="C132" s="119" t="s">
        <v>231</v>
      </c>
      <c r="N132" s="98"/>
      <c r="O132" s="72"/>
    </row>
    <row r="133" spans="2:21" ht="15.75" thickBot="1">
      <c r="B133" s="34"/>
      <c r="C133" s="120" t="s">
        <v>232</v>
      </c>
      <c r="D133" s="121"/>
      <c r="E133" s="105"/>
      <c r="F133" s="105"/>
      <c r="G133" s="105"/>
      <c r="H133" s="42"/>
      <c r="I133" s="122"/>
      <c r="J133" s="105"/>
      <c r="K133" s="105"/>
      <c r="L133" s="105"/>
      <c r="M133" s="105"/>
      <c r="N133" s="123"/>
      <c r="O133" s="72"/>
    </row>
    <row r="134" spans="2:21" ht="15.75" thickBot="1">
      <c r="C134" s="106"/>
      <c r="D134" s="106"/>
      <c r="E134" s="90"/>
      <c r="F134" s="90"/>
      <c r="G134" s="90"/>
      <c r="H134" s="124"/>
      <c r="I134" s="125"/>
      <c r="J134" s="107"/>
      <c r="K134" s="107"/>
      <c r="L134" s="107"/>
      <c r="M134" s="107"/>
      <c r="N134" s="107"/>
    </row>
    <row r="135" spans="2:21">
      <c r="B135" s="34"/>
      <c r="C135" s="126" t="s">
        <v>233</v>
      </c>
      <c r="D135" s="196"/>
      <c r="E135" s="114"/>
      <c r="F135" s="114"/>
      <c r="G135" s="114"/>
      <c r="H135" s="36"/>
      <c r="I135" s="67"/>
      <c r="J135" s="114"/>
      <c r="K135" s="114"/>
      <c r="L135" s="114"/>
      <c r="M135" s="114"/>
      <c r="N135" s="127"/>
      <c r="O135" s="72"/>
    </row>
    <row r="136" spans="2:21">
      <c r="B136" s="34"/>
      <c r="C136" s="80" t="s">
        <v>234</v>
      </c>
      <c r="D136" s="48"/>
      <c r="N136" s="98"/>
      <c r="O136" s="72"/>
    </row>
    <row r="137" spans="2:21">
      <c r="B137" s="34"/>
      <c r="C137" s="80" t="s">
        <v>235</v>
      </c>
      <c r="D137" s="48"/>
      <c r="N137" s="98"/>
      <c r="O137" s="72"/>
    </row>
    <row r="138" spans="2:21">
      <c r="B138" s="34"/>
      <c r="C138" s="80" t="s">
        <v>236</v>
      </c>
      <c r="D138" s="48"/>
      <c r="N138" s="98"/>
      <c r="O138" s="72"/>
    </row>
    <row r="139" spans="2:21">
      <c r="B139" s="34"/>
      <c r="C139" s="80" t="s">
        <v>237</v>
      </c>
      <c r="D139" s="48"/>
      <c r="N139" s="98"/>
      <c r="O139" s="72"/>
    </row>
    <row r="140" spans="2:21" ht="15.75" customHeight="1">
      <c r="B140" s="34"/>
      <c r="C140" s="80" t="s">
        <v>238</v>
      </c>
      <c r="D140" s="48"/>
      <c r="N140" s="98"/>
      <c r="O140" s="72"/>
    </row>
    <row r="141" spans="2:21">
      <c r="B141" s="34"/>
      <c r="C141" s="80" t="s">
        <v>239</v>
      </c>
      <c r="D141" s="48"/>
      <c r="E141" s="48"/>
      <c r="F141" s="48"/>
      <c r="G141" s="48"/>
      <c r="N141" s="98"/>
      <c r="O141" s="72"/>
    </row>
    <row r="142" spans="2:21">
      <c r="B142" s="34"/>
      <c r="C142" s="128" t="s">
        <v>240</v>
      </c>
      <c r="D142" s="2"/>
      <c r="E142" s="48"/>
      <c r="F142" s="48"/>
      <c r="G142" s="48"/>
      <c r="N142" s="98"/>
      <c r="O142" s="72"/>
    </row>
    <row r="143" spans="2:21" ht="15.75" thickBot="1">
      <c r="B143" s="34"/>
      <c r="C143" s="197" t="s">
        <v>241</v>
      </c>
      <c r="D143" s="105"/>
      <c r="E143" s="85"/>
      <c r="F143" s="85"/>
      <c r="G143" s="85"/>
      <c r="H143" s="42"/>
      <c r="I143" s="122"/>
      <c r="J143" s="105"/>
      <c r="K143" s="105"/>
      <c r="L143" s="105"/>
      <c r="M143" s="105"/>
      <c r="N143" s="123"/>
      <c r="O143" s="72"/>
    </row>
    <row r="144" spans="2:21" ht="15.75" thickBot="1">
      <c r="C144" s="107"/>
      <c r="D144" s="107"/>
      <c r="E144" s="90"/>
      <c r="F144" s="90"/>
      <c r="G144" s="90"/>
      <c r="H144" s="124"/>
      <c r="I144" s="125"/>
      <c r="J144" s="107"/>
      <c r="K144" s="107"/>
      <c r="L144" s="107"/>
      <c r="M144" s="107"/>
      <c r="N144" s="107"/>
      <c r="Q144" s="188"/>
      <c r="R144" s="207"/>
      <c r="S144" s="206"/>
      <c r="T144" s="206"/>
      <c r="U144" s="206"/>
    </row>
    <row r="145" spans="2:23">
      <c r="B145" s="34"/>
      <c r="C145" s="198" t="s">
        <v>242</v>
      </c>
      <c r="D145" s="129"/>
      <c r="E145" s="114"/>
      <c r="F145" s="114"/>
      <c r="G145" s="114"/>
      <c r="H145" s="36"/>
      <c r="I145" s="67"/>
      <c r="J145" s="114"/>
      <c r="K145" s="114"/>
      <c r="L145" s="114"/>
      <c r="M145" s="114"/>
      <c r="N145" s="127"/>
      <c r="O145" s="72"/>
      <c r="Q145" s="188"/>
      <c r="R145" s="207"/>
      <c r="S145" s="206"/>
      <c r="T145" s="206"/>
      <c r="U145" s="206"/>
      <c r="V145" s="206"/>
    </row>
    <row r="146" spans="2:23">
      <c r="B146" s="34"/>
      <c r="C146" s="130" t="s">
        <v>243</v>
      </c>
      <c r="D146" s="131"/>
      <c r="H146" s="12"/>
      <c r="I146" s="132"/>
      <c r="J146" s="6"/>
      <c r="N146" s="98"/>
      <c r="O146" s="72"/>
      <c r="Q146" s="188"/>
      <c r="R146" s="207"/>
      <c r="S146" s="206"/>
      <c r="T146" s="206"/>
      <c r="U146" s="206"/>
      <c r="V146" s="206"/>
    </row>
    <row r="147" spans="2:23">
      <c r="B147" s="34"/>
      <c r="C147" s="130" t="s">
        <v>244</v>
      </c>
      <c r="D147" s="131"/>
      <c r="H147" s="12"/>
      <c r="I147" s="132"/>
      <c r="J147" s="88"/>
      <c r="K147" s="88"/>
      <c r="L147" s="18"/>
      <c r="M147" s="18"/>
      <c r="N147" s="195"/>
      <c r="O147" s="180"/>
      <c r="Q147" s="188"/>
      <c r="R147" s="207"/>
      <c r="S147" s="206"/>
      <c r="T147" s="206"/>
      <c r="U147" s="206"/>
      <c r="V147" s="206"/>
      <c r="W147" s="206"/>
    </row>
    <row r="148" spans="2:23" ht="15.75" thickBot="1">
      <c r="B148" s="34"/>
      <c r="C148" s="133" t="s">
        <v>245</v>
      </c>
      <c r="D148" s="134"/>
      <c r="E148" s="105"/>
      <c r="F148" s="105"/>
      <c r="G148" s="105"/>
      <c r="H148" s="135"/>
      <c r="I148" s="136"/>
      <c r="J148" s="137"/>
      <c r="K148" s="137"/>
      <c r="L148" s="194"/>
      <c r="M148" s="194"/>
      <c r="N148" s="199"/>
      <c r="O148" s="180"/>
      <c r="Q148" s="188"/>
      <c r="R148" s="207"/>
      <c r="S148" s="206"/>
      <c r="T148" s="206"/>
      <c r="U148" s="206"/>
      <c r="V148" s="206"/>
      <c r="W148" s="206"/>
    </row>
    <row r="149" spans="2:23" ht="15.75" thickBot="1">
      <c r="C149" s="138"/>
      <c r="D149" s="138"/>
      <c r="E149" s="107"/>
      <c r="F149" s="107"/>
      <c r="G149" s="107"/>
      <c r="H149" s="124"/>
      <c r="I149" s="139"/>
      <c r="J149" s="140"/>
      <c r="K149" s="107"/>
      <c r="L149" s="107"/>
      <c r="M149" s="140"/>
      <c r="N149" s="107"/>
      <c r="R149" s="207"/>
      <c r="V149" s="206"/>
      <c r="W149" s="206"/>
    </row>
    <row r="150" spans="2:23" s="88" customFormat="1">
      <c r="B150" s="74"/>
      <c r="C150" s="198" t="s">
        <v>246</v>
      </c>
      <c r="D150" s="129"/>
      <c r="E150" s="141"/>
      <c r="F150" s="141"/>
      <c r="G150" s="141"/>
      <c r="H150" s="36"/>
      <c r="I150" s="142"/>
      <c r="J150" s="143"/>
      <c r="K150" s="114"/>
      <c r="L150" s="114"/>
      <c r="M150" s="143"/>
      <c r="N150" s="127"/>
      <c r="O150" s="72"/>
      <c r="P150" s="2"/>
      <c r="Q150" s="23"/>
      <c r="R150" s="200"/>
      <c r="S150" s="201"/>
      <c r="T150" s="201"/>
      <c r="U150" s="201"/>
      <c r="V150" s="206"/>
      <c r="W150" s="206"/>
    </row>
    <row r="151" spans="2:23" s="88" customFormat="1">
      <c r="B151" s="74"/>
      <c r="C151" s="130" t="s">
        <v>247</v>
      </c>
      <c r="D151" s="131"/>
      <c r="E151" s="5"/>
      <c r="F151" s="5"/>
      <c r="G151" s="5"/>
      <c r="H151" s="49"/>
      <c r="K151" s="144"/>
      <c r="L151" s="3"/>
      <c r="M151" s="4"/>
      <c r="N151" s="56"/>
      <c r="O151" s="72"/>
      <c r="P151" s="2"/>
      <c r="Q151" s="23"/>
      <c r="R151" s="200"/>
      <c r="S151" s="201"/>
      <c r="T151" s="201"/>
      <c r="U151" s="201"/>
      <c r="V151" s="201"/>
      <c r="W151" s="206"/>
    </row>
    <row r="152" spans="2:23" s="88" customFormat="1" ht="15.75" thickBot="1">
      <c r="B152" s="34"/>
      <c r="C152" s="133" t="s">
        <v>248</v>
      </c>
      <c r="D152" s="134"/>
      <c r="E152" s="87"/>
      <c r="F152" s="87"/>
      <c r="G152" s="87"/>
      <c r="H152" s="42"/>
      <c r="I152" s="122"/>
      <c r="J152" s="105"/>
      <c r="K152" s="105"/>
      <c r="L152" s="105"/>
      <c r="M152" s="105"/>
      <c r="N152" s="123"/>
      <c r="O152" s="72"/>
      <c r="P152" s="2"/>
      <c r="Q152" s="23"/>
      <c r="R152" s="200"/>
      <c r="S152" s="201"/>
      <c r="T152" s="201"/>
      <c r="U152" s="201"/>
      <c r="V152" s="201"/>
      <c r="W152" s="201"/>
    </row>
    <row r="153" spans="2:23" s="88" customFormat="1">
      <c r="B153" s="2"/>
      <c r="C153" s="145"/>
      <c r="D153" s="145"/>
      <c r="E153" s="146"/>
      <c r="F153" s="146"/>
      <c r="G153" s="146"/>
      <c r="H153" s="46"/>
      <c r="I153" s="147"/>
      <c r="J153" s="45"/>
      <c r="K153" s="45"/>
      <c r="L153" s="45"/>
      <c r="M153" s="45"/>
      <c r="N153" s="45"/>
      <c r="O153" s="2"/>
      <c r="P153" s="2"/>
      <c r="Q153" s="23"/>
      <c r="R153" s="200"/>
      <c r="S153" s="201"/>
      <c r="T153" s="201"/>
      <c r="U153" s="201"/>
      <c r="V153" s="201"/>
      <c r="W153" s="201"/>
    </row>
    <row r="154" spans="2:23" s="88" customFormat="1">
      <c r="B154" s="2"/>
      <c r="C154" s="44"/>
      <c r="D154" s="44"/>
      <c r="E154" s="48"/>
      <c r="F154" s="48"/>
      <c r="G154" s="48"/>
      <c r="H154" s="3"/>
      <c r="I154" s="53"/>
      <c r="J154" s="2"/>
      <c r="K154" s="2"/>
      <c r="L154" s="2"/>
      <c r="M154" s="2"/>
      <c r="N154" s="2"/>
      <c r="O154" s="2"/>
      <c r="P154" s="2"/>
      <c r="Q154" s="23"/>
      <c r="R154" s="200"/>
      <c r="S154" s="201"/>
      <c r="T154" s="201"/>
      <c r="U154" s="201"/>
      <c r="V154" s="201"/>
      <c r="W154" s="201"/>
    </row>
  </sheetData>
  <sheetProtection algorithmName="SHA-512" hashValue="b5BruD3goQQAyxva+IPXL2J8uQvYMY/op5OHA2uDeroZnoS1CGYwNYZsc89Pi0IaFrPXsD9I0CNq898tc48Vkw==" saltValue="DRCv3tJt/PGRFtvcgrA/Qw==" spinCount="100000" sheet="1" selectLockedCells="1" selectUnlockedCells="1"/>
  <mergeCells count="1">
    <mergeCell ref="C55:O55"/>
  </mergeCells>
  <pageMargins left="0.25" right="0.25" top="0.75" bottom="0.75" header="0.3" footer="0.3"/>
  <pageSetup scale="98" orientation="landscape" r:id="rId1"/>
  <headerFooter alignWithMargins="0"/>
  <rowBreaks count="2" manualBreakCount="2">
    <brk id="78" max="16383" man="1"/>
    <brk id="86" max="16383"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B34FD-AE60-4B60-B2AE-EEF8F1568FB0}">
  <sheetPr codeName="Sheet10"/>
  <dimension ref="A1:AD152"/>
  <sheetViews>
    <sheetView showGridLines="0" topLeftCell="A98" zoomScaleNormal="100" workbookViewId="0">
      <selection activeCell="K43" sqref="K43"/>
    </sheetView>
  </sheetViews>
  <sheetFormatPr defaultColWidth="9.140625" defaultRowHeight="15"/>
  <cols>
    <col min="1" max="1" width="6.42578125" style="159" bestFit="1" customWidth="1"/>
    <col min="2" max="2" width="7.5703125" style="208" customWidth="1"/>
    <col min="3" max="3" width="10.85546875" style="159" customWidth="1"/>
    <col min="4" max="4" width="8.42578125" style="210" customWidth="1"/>
    <col min="5" max="5" width="9.85546875" style="210" bestFit="1" customWidth="1"/>
    <col min="6" max="6" width="37.28515625" style="159" hidden="1" customWidth="1"/>
    <col min="7" max="7" width="10.140625" style="159" customWidth="1"/>
    <col min="8" max="8" width="57.85546875" style="211" bestFit="1" customWidth="1"/>
    <col min="9" max="9" width="9.5703125" style="167" customWidth="1"/>
    <col min="10" max="14" width="9.5703125" style="159" customWidth="1"/>
    <col min="15" max="15" width="11" style="159" bestFit="1" customWidth="1"/>
    <col min="16" max="16" width="12.140625" style="286" hidden="1" customWidth="1"/>
    <col min="17" max="17" width="13.5703125" style="280" hidden="1" customWidth="1"/>
    <col min="18" max="18" width="57.85546875" style="308" hidden="1" customWidth="1"/>
    <col min="19" max="25" width="11" style="278" hidden="1" customWidth="1"/>
    <col min="26" max="26" width="8.42578125" style="208" hidden="1" customWidth="1"/>
    <col min="27" max="30" width="9.140625" style="208" hidden="1" customWidth="1"/>
    <col min="31" max="16384" width="9.140625" style="208"/>
  </cols>
  <sheetData>
    <row r="1" spans="1:25">
      <c r="A1" s="209" t="s">
        <v>316</v>
      </c>
      <c r="P1" s="286" t="s">
        <v>464</v>
      </c>
      <c r="Q1" s="319">
        <v>1.0249999999999999</v>
      </c>
      <c r="R1" s="308" t="s">
        <v>436</v>
      </c>
    </row>
    <row r="2" spans="1:25">
      <c r="A2" s="212" t="s">
        <v>0</v>
      </c>
      <c r="C2" s="208"/>
      <c r="D2" s="159"/>
      <c r="E2" s="211"/>
      <c r="F2" s="162"/>
      <c r="G2" s="162"/>
      <c r="H2" s="162"/>
      <c r="I2" s="162"/>
      <c r="J2" s="162"/>
      <c r="K2" s="162"/>
      <c r="P2" s="286" t="s">
        <v>465</v>
      </c>
      <c r="Q2" s="320">
        <v>1.74</v>
      </c>
    </row>
    <row r="3" spans="1:25">
      <c r="A3" s="212" t="s">
        <v>466</v>
      </c>
      <c r="C3" s="208"/>
      <c r="D3" s="209"/>
      <c r="E3" s="211"/>
      <c r="F3" s="213"/>
      <c r="G3" s="213"/>
      <c r="H3" s="213"/>
      <c r="I3" s="213"/>
      <c r="J3" s="213"/>
      <c r="K3" s="213"/>
    </row>
    <row r="4" spans="1:25">
      <c r="A4" s="208" t="s">
        <v>467</v>
      </c>
      <c r="C4" s="208"/>
    </row>
    <row r="5" spans="1:25">
      <c r="A5" s="159" t="s">
        <v>318</v>
      </c>
      <c r="C5" s="208"/>
    </row>
    <row r="6" spans="1:25">
      <c r="C6" s="208"/>
    </row>
    <row r="7" spans="1:25" ht="30">
      <c r="A7" s="215" t="s">
        <v>373</v>
      </c>
      <c r="B7" s="216" t="s">
        <v>2</v>
      </c>
      <c r="C7" s="216" t="s">
        <v>374</v>
      </c>
      <c r="D7" s="216" t="s">
        <v>375</v>
      </c>
      <c r="E7" s="215" t="s">
        <v>376</v>
      </c>
      <c r="F7" s="216" t="s">
        <v>439</v>
      </c>
      <c r="G7" s="216" t="s">
        <v>7</v>
      </c>
      <c r="H7" s="217" t="s">
        <v>440</v>
      </c>
      <c r="I7" s="213" t="s">
        <v>154</v>
      </c>
      <c r="J7" s="213" t="s">
        <v>156</v>
      </c>
      <c r="K7" s="213" t="s">
        <v>158</v>
      </c>
      <c r="L7" s="213" t="s">
        <v>170</v>
      </c>
      <c r="M7" s="213" t="s">
        <v>441</v>
      </c>
      <c r="N7" s="213" t="s">
        <v>442</v>
      </c>
      <c r="O7" s="213" t="s">
        <v>443</v>
      </c>
      <c r="P7" s="286" t="s">
        <v>444</v>
      </c>
      <c r="Q7" s="281" t="s">
        <v>7</v>
      </c>
      <c r="R7" s="282" t="s">
        <v>440</v>
      </c>
      <c r="S7" s="283" t="s">
        <v>154</v>
      </c>
      <c r="T7" s="283" t="s">
        <v>156</v>
      </c>
      <c r="U7" s="283" t="s">
        <v>158</v>
      </c>
      <c r="V7" s="283" t="s">
        <v>170</v>
      </c>
      <c r="W7" s="283" t="s">
        <v>441</v>
      </c>
      <c r="X7" s="283" t="s">
        <v>442</v>
      </c>
      <c r="Y7" s="283" t="s">
        <v>443</v>
      </c>
    </row>
    <row r="8" spans="1:25">
      <c r="A8" s="219">
        <v>15</v>
      </c>
      <c r="B8" s="162">
        <v>228</v>
      </c>
      <c r="C8" s="162">
        <v>5</v>
      </c>
      <c r="D8" s="162" t="s">
        <v>17</v>
      </c>
      <c r="E8" s="162" t="s">
        <v>18</v>
      </c>
      <c r="F8" s="219">
        <v>15</v>
      </c>
      <c r="G8" s="162" t="s">
        <v>45</v>
      </c>
      <c r="H8" s="211" t="s">
        <v>46</v>
      </c>
      <c r="I8" s="269">
        <f>S8</f>
        <v>31.04</v>
      </c>
      <c r="J8" s="269"/>
      <c r="K8" s="269"/>
      <c r="L8" s="269"/>
      <c r="M8" s="269"/>
      <c r="N8" s="269"/>
      <c r="O8" s="220"/>
      <c r="P8" s="313" t="s">
        <v>445</v>
      </c>
      <c r="Q8" s="286" t="str">
        <f>G8</f>
        <v>00500C</v>
      </c>
      <c r="R8" s="309" t="str">
        <f>H8</f>
        <v>Asphalt Raker</v>
      </c>
      <c r="S8" s="321">
        <f t="shared" ref="S8:S43" si="0">ROUND(IF($P8="Y",((VLOOKUP($Q8,Rates2021,3,0)+LIUNA2022)*PercIncr2022)-LIUNA2022,VLOOKUP($Q8,Rates2021,3,0)),3)</f>
        <v>31.04</v>
      </c>
      <c r="T8" s="321"/>
      <c r="U8" s="321"/>
      <c r="V8" s="322"/>
      <c r="W8" s="321"/>
      <c r="X8" s="321"/>
      <c r="Y8" s="321"/>
    </row>
    <row r="9" spans="1:25">
      <c r="A9" s="219" t="s">
        <v>319</v>
      </c>
      <c r="B9" s="162">
        <v>228</v>
      </c>
      <c r="C9" s="162">
        <v>5</v>
      </c>
      <c r="D9" s="162" t="s">
        <v>17</v>
      </c>
      <c r="E9" s="162" t="s">
        <v>18</v>
      </c>
      <c r="F9" s="219" t="s">
        <v>19</v>
      </c>
      <c r="G9" s="162" t="s">
        <v>21</v>
      </c>
      <c r="H9" s="211" t="s">
        <v>22</v>
      </c>
      <c r="I9" s="269">
        <f t="shared" ref="I9:O52" si="1">S9</f>
        <v>27.042000000000002</v>
      </c>
      <c r="J9" s="269">
        <f t="shared" si="1"/>
        <v>27.887</v>
      </c>
      <c r="K9" s="269">
        <f t="shared" si="1"/>
        <v>28.757999999999999</v>
      </c>
      <c r="L9" s="269">
        <f t="shared" si="1"/>
        <v>29.655000000000001</v>
      </c>
      <c r="M9" s="269"/>
      <c r="N9" s="269"/>
      <c r="O9" s="220"/>
      <c r="P9" s="312" t="s">
        <v>445</v>
      </c>
      <c r="Q9" s="286" t="str">
        <f t="shared" ref="Q9:R54" si="2">G9</f>
        <v>00505C</v>
      </c>
      <c r="R9" s="309" t="str">
        <f t="shared" si="2"/>
        <v>Asphalt Raker Apprentice I (1st 522 hours)</v>
      </c>
      <c r="S9" s="321">
        <f t="shared" si="0"/>
        <v>27.042000000000002</v>
      </c>
      <c r="T9" s="321">
        <f>ROUND(IF($P9="Y",((VLOOKUP($Q9,Rates2021,4,0)+LIUNA2022)*PercIncr2022)-LIUNA2022,VLOOKUP($Q9,Rates2021,4,0)),3)</f>
        <v>27.887</v>
      </c>
      <c r="U9" s="321">
        <f>ROUND(IF($P9="Y",((VLOOKUP($Q9,Rates2021,5,0)+LIUNA2022)*PercIncr2022)-LIUNA2022,VLOOKUP($Q9,Rates2021,5,0)),3)</f>
        <v>28.757999999999999</v>
      </c>
      <c r="V9" s="321">
        <f>ROUND(IF($P9="Y",((VLOOKUP($Q9,Rates2021,6,0)+LIUNA2022)*PercIncr2022)-LIUNA2022,VLOOKUP($Q9,Rates2021,6,0)),3)</f>
        <v>29.655000000000001</v>
      </c>
      <c r="W9" s="321"/>
      <c r="X9" s="321"/>
      <c r="Y9" s="321"/>
    </row>
    <row r="10" spans="1:25">
      <c r="A10" s="219" t="s">
        <v>321</v>
      </c>
      <c r="B10" s="162">
        <v>228</v>
      </c>
      <c r="C10" s="162">
        <v>5</v>
      </c>
      <c r="D10" s="162" t="s">
        <v>17</v>
      </c>
      <c r="E10" s="162" t="s">
        <v>18</v>
      </c>
      <c r="F10" s="219" t="s">
        <v>19</v>
      </c>
      <c r="G10" s="162" t="s">
        <v>25</v>
      </c>
      <c r="H10" s="211" t="s">
        <v>26</v>
      </c>
      <c r="I10" s="269">
        <f t="shared" si="1"/>
        <v>27.494</v>
      </c>
      <c r="J10" s="269">
        <f t="shared" si="1"/>
        <v>28.34</v>
      </c>
      <c r="K10" s="269">
        <f t="shared" si="1"/>
        <v>29.21</v>
      </c>
      <c r="L10" s="269">
        <f t="shared" si="1"/>
        <v>30.106999999999999</v>
      </c>
      <c r="M10" s="269"/>
      <c r="N10" s="269"/>
      <c r="O10" s="220"/>
      <c r="P10" s="312" t="s">
        <v>445</v>
      </c>
      <c r="Q10" s="286" t="str">
        <f t="shared" si="2"/>
        <v>00507C</v>
      </c>
      <c r="R10" s="309" t="str">
        <f t="shared" si="2"/>
        <v>Asphalt Raker Apprentice II (2nd 522 hours)</v>
      </c>
      <c r="S10" s="321">
        <f t="shared" si="0"/>
        <v>27.494</v>
      </c>
      <c r="T10" s="321">
        <f>ROUND(IF($P10="Y",((VLOOKUP($Q10,Rates2021,4,0)+LIUNA2022)*PercIncr2022)-LIUNA2022,VLOOKUP($Q10,Rates2021,4,0)),3)</f>
        <v>28.34</v>
      </c>
      <c r="U10" s="321">
        <f>ROUND(IF($P10="Y",((VLOOKUP($Q10,Rates2021,5,0)+LIUNA2022)*PercIncr2022)-LIUNA2022,VLOOKUP($Q10,Rates2021,5,0)),3)</f>
        <v>29.21</v>
      </c>
      <c r="V10" s="321">
        <f>ROUND(IF($P10="Y",((VLOOKUP($Q10,Rates2021,6,0)+LIUNA2022)*PercIncr2022)-LIUNA2022,VLOOKUP($Q10,Rates2021,6,0)),3)</f>
        <v>30.106999999999999</v>
      </c>
      <c r="W10" s="321"/>
      <c r="X10" s="321"/>
      <c r="Y10" s="321"/>
    </row>
    <row r="11" spans="1:25">
      <c r="A11" s="219" t="s">
        <v>47</v>
      </c>
      <c r="B11" s="162">
        <v>178</v>
      </c>
      <c r="C11" s="162">
        <v>3</v>
      </c>
      <c r="D11" s="162" t="s">
        <v>17</v>
      </c>
      <c r="E11" s="162" t="s">
        <v>18</v>
      </c>
      <c r="F11" s="219" t="s">
        <v>47</v>
      </c>
      <c r="G11" s="162" t="s">
        <v>48</v>
      </c>
      <c r="H11" s="211" t="s">
        <v>49</v>
      </c>
      <c r="I11" s="269">
        <f t="shared" si="1"/>
        <v>16.305</v>
      </c>
      <c r="J11" s="269">
        <f t="shared" si="1"/>
        <v>18.975000000000001</v>
      </c>
      <c r="K11" s="269">
        <f t="shared" si="1"/>
        <v>20.068000000000001</v>
      </c>
      <c r="L11" s="269">
        <f t="shared" si="1"/>
        <v>25.225000000000001</v>
      </c>
      <c r="M11" s="269"/>
      <c r="N11" s="269"/>
      <c r="O11" s="220"/>
      <c r="P11" s="313" t="s">
        <v>445</v>
      </c>
      <c r="Q11" s="286" t="str">
        <f t="shared" si="2"/>
        <v>01060C</v>
      </c>
      <c r="R11" s="309" t="str">
        <f t="shared" si="2"/>
        <v>Attendant Impound Lot</v>
      </c>
      <c r="S11" s="321">
        <f t="shared" si="0"/>
        <v>16.305</v>
      </c>
      <c r="T11" s="321">
        <f>ROUND(IF($P11="Y",((VLOOKUP($Q11,Rates2021,4,0)+LIUNA2022)*PercIncr2022)-LIUNA2022,VLOOKUP($Q11,Rates2021,4,0)),3)</f>
        <v>18.975000000000001</v>
      </c>
      <c r="U11" s="321">
        <f>ROUND(IF($P11="Y",((VLOOKUP($Q11,Rates2021,5,0)+LIUNA2022)*PercIncr2022)-LIUNA2022,VLOOKUP($Q11,Rates2021,5,0)),3)</f>
        <v>20.068000000000001</v>
      </c>
      <c r="V11" s="321">
        <f>ROUND(IF($P11="Y",((VLOOKUP($Q11,Rates2021,6,0)+LIUNA2022)*PercIncr2022)-LIUNA2022,VLOOKUP($Q11,Rates2021,6,0)),3)</f>
        <v>25.225000000000001</v>
      </c>
      <c r="W11" s="321"/>
      <c r="X11" s="321"/>
      <c r="Y11" s="321"/>
    </row>
    <row r="12" spans="1:25">
      <c r="A12" s="219">
        <v>18</v>
      </c>
      <c r="B12" s="162">
        <v>280</v>
      </c>
      <c r="C12" s="162">
        <v>6</v>
      </c>
      <c r="D12" s="162" t="s">
        <v>17</v>
      </c>
      <c r="E12" s="162" t="s">
        <v>18</v>
      </c>
      <c r="F12" s="219">
        <v>18</v>
      </c>
      <c r="G12" s="162" t="s">
        <v>50</v>
      </c>
      <c r="H12" s="211" t="s">
        <v>51</v>
      </c>
      <c r="I12" s="269">
        <f t="shared" si="1"/>
        <v>34.771999999999998</v>
      </c>
      <c r="J12" s="269"/>
      <c r="K12" s="269"/>
      <c r="L12" s="269"/>
      <c r="M12" s="269"/>
      <c r="N12" s="269"/>
      <c r="O12" s="220"/>
      <c r="P12" s="313" t="s">
        <v>445</v>
      </c>
      <c r="Q12" s="286" t="str">
        <f t="shared" si="2"/>
        <v>01570C</v>
      </c>
      <c r="R12" s="309" t="str">
        <f t="shared" si="2"/>
        <v>Cement Finisher Journeyman</v>
      </c>
      <c r="S12" s="321">
        <f t="shared" si="0"/>
        <v>34.771999999999998</v>
      </c>
      <c r="T12" s="321"/>
      <c r="U12" s="321"/>
      <c r="V12" s="322"/>
      <c r="W12" s="321"/>
      <c r="X12" s="321"/>
      <c r="Y12" s="321"/>
    </row>
    <row r="13" spans="1:25">
      <c r="A13" s="219" t="s">
        <v>321</v>
      </c>
      <c r="B13" s="162">
        <v>280</v>
      </c>
      <c r="C13" s="162">
        <v>6</v>
      </c>
      <c r="D13" s="162" t="s">
        <v>17</v>
      </c>
      <c r="E13" s="162" t="s">
        <v>18</v>
      </c>
      <c r="F13" s="219" t="s">
        <v>19</v>
      </c>
      <c r="G13" s="162" t="s">
        <v>31</v>
      </c>
      <c r="H13" s="211" t="s">
        <v>32</v>
      </c>
      <c r="I13" s="269">
        <f t="shared" si="1"/>
        <v>27.494</v>
      </c>
      <c r="J13" s="269">
        <f t="shared" si="1"/>
        <v>28.34</v>
      </c>
      <c r="K13" s="269">
        <f t="shared" si="1"/>
        <v>29.21</v>
      </c>
      <c r="L13" s="269">
        <f t="shared" si="1"/>
        <v>30.106999999999999</v>
      </c>
      <c r="M13" s="269"/>
      <c r="N13" s="269"/>
      <c r="O13" s="220"/>
      <c r="P13" s="313" t="s">
        <v>445</v>
      </c>
      <c r="Q13" s="286" t="str">
        <f t="shared" si="2"/>
        <v>01585C</v>
      </c>
      <c r="R13" s="309" t="str">
        <f t="shared" si="2"/>
        <v>Cement Finisher Apprentice I (1st 174 hours)</v>
      </c>
      <c r="S13" s="321">
        <f t="shared" si="0"/>
        <v>27.494</v>
      </c>
      <c r="T13" s="321">
        <f>ROUND(IF($P13="Y",((VLOOKUP($Q13,Rates2021,4,0)+LIUNA2022)*PercIncr2022)-LIUNA2022,VLOOKUP($Q13,Rates2021,4,0)),3)</f>
        <v>28.34</v>
      </c>
      <c r="U13" s="321">
        <f>ROUND(IF($P13="Y",((VLOOKUP($Q13,Rates2021,5,0)+LIUNA2022)*PercIncr2022)-LIUNA2022,VLOOKUP($Q13,Rates2021,5,0)),3)</f>
        <v>29.21</v>
      </c>
      <c r="V13" s="321">
        <f>ROUND(IF($P13="Y",((VLOOKUP($Q13,Rates2021,6,0)+LIUNA2022)*PercIncr2022)-LIUNA2022,VLOOKUP($Q13,Rates2021,6,0)),3)</f>
        <v>30.106999999999999</v>
      </c>
      <c r="W13" s="321"/>
      <c r="X13" s="321"/>
      <c r="Y13" s="321"/>
    </row>
    <row r="14" spans="1:25">
      <c r="A14" s="219" t="s">
        <v>322</v>
      </c>
      <c r="B14" s="162">
        <v>280</v>
      </c>
      <c r="C14" s="162">
        <v>6</v>
      </c>
      <c r="D14" s="162" t="s">
        <v>17</v>
      </c>
      <c r="E14" s="162" t="s">
        <v>18</v>
      </c>
      <c r="F14" s="219" t="s">
        <v>19</v>
      </c>
      <c r="G14" s="162" t="s">
        <v>35</v>
      </c>
      <c r="H14" s="211" t="s">
        <v>36</v>
      </c>
      <c r="I14" s="269">
        <f t="shared" si="1"/>
        <v>27.881</v>
      </c>
      <c r="J14" s="269">
        <f t="shared" si="1"/>
        <v>28.727</v>
      </c>
      <c r="K14" s="269">
        <f t="shared" si="1"/>
        <v>29.597000000000001</v>
      </c>
      <c r="L14" s="269">
        <f t="shared" si="1"/>
        <v>30.494</v>
      </c>
      <c r="M14" s="269"/>
      <c r="N14" s="269"/>
      <c r="O14" s="220"/>
      <c r="P14" s="313" t="s">
        <v>445</v>
      </c>
      <c r="Q14" s="286" t="str">
        <f t="shared" si="2"/>
        <v>01586C</v>
      </c>
      <c r="R14" s="309" t="str">
        <f t="shared" si="2"/>
        <v>Cement Finisher Apprentice II (Next 696 hours)</v>
      </c>
      <c r="S14" s="321">
        <f t="shared" si="0"/>
        <v>27.881</v>
      </c>
      <c r="T14" s="321">
        <f>ROUND(IF($P14="Y",((VLOOKUP($Q14,Rates2021,4,0)+LIUNA2022)*PercIncr2022)-LIUNA2022,VLOOKUP($Q14,Rates2021,4,0)),3)</f>
        <v>28.727</v>
      </c>
      <c r="U14" s="321">
        <f>ROUND(IF($P14="Y",((VLOOKUP($Q14,Rates2021,5,0)+LIUNA2022)*PercIncr2022)-LIUNA2022,VLOOKUP($Q14,Rates2021,5,0)),3)</f>
        <v>29.597000000000001</v>
      </c>
      <c r="V14" s="321">
        <f>ROUND(IF($P14="Y",((VLOOKUP($Q14,Rates2021,6,0)+LIUNA2022)*PercIncr2022)-LIUNA2022,VLOOKUP($Q14,Rates2021,6,0)),3)</f>
        <v>30.494</v>
      </c>
      <c r="W14" s="321"/>
      <c r="X14" s="321"/>
      <c r="Y14" s="321"/>
    </row>
    <row r="15" spans="1:25">
      <c r="A15" s="219" t="s">
        <v>323</v>
      </c>
      <c r="B15" s="162">
        <v>280</v>
      </c>
      <c r="C15" s="162">
        <v>6</v>
      </c>
      <c r="D15" s="162" t="s">
        <v>17</v>
      </c>
      <c r="E15" s="162" t="s">
        <v>18</v>
      </c>
      <c r="F15" s="219" t="s">
        <v>19</v>
      </c>
      <c r="G15" s="162" t="s">
        <v>39</v>
      </c>
      <c r="H15" s="211" t="s">
        <v>40</v>
      </c>
      <c r="I15" s="269">
        <f t="shared" si="1"/>
        <v>29.108000000000001</v>
      </c>
      <c r="J15" s="269">
        <f t="shared" si="1"/>
        <v>29.954000000000001</v>
      </c>
      <c r="K15" s="269">
        <f t="shared" si="1"/>
        <v>30.824999999999999</v>
      </c>
      <c r="L15" s="269">
        <f t="shared" si="1"/>
        <v>31.722000000000001</v>
      </c>
      <c r="M15" s="269"/>
      <c r="N15" s="269"/>
      <c r="O15" s="220"/>
      <c r="P15" s="313" t="s">
        <v>445</v>
      </c>
      <c r="Q15" s="286" t="str">
        <f t="shared" si="2"/>
        <v>01587C</v>
      </c>
      <c r="R15" s="309" t="str">
        <f t="shared" si="2"/>
        <v>Cement Finisher Apprentice III (Next 696 hours)</v>
      </c>
      <c r="S15" s="321">
        <f t="shared" si="0"/>
        <v>29.108000000000001</v>
      </c>
      <c r="T15" s="321">
        <f>ROUND(IF($P15="Y",((VLOOKUP($Q15,Rates2021,4,0)+LIUNA2022)*PercIncr2022)-LIUNA2022,VLOOKUP($Q15,Rates2021,4,0)),3)</f>
        <v>29.954000000000001</v>
      </c>
      <c r="U15" s="321">
        <f>ROUND(IF($P15="Y",((VLOOKUP($Q15,Rates2021,5,0)+LIUNA2022)*PercIncr2022)-LIUNA2022,VLOOKUP($Q15,Rates2021,5,0)),3)</f>
        <v>30.824999999999999</v>
      </c>
      <c r="V15" s="321">
        <f>ROUND(IF($P15="Y",((VLOOKUP($Q15,Rates2021,6,0)+LIUNA2022)*PercIncr2022)-LIUNA2022,VLOOKUP($Q15,Rates2021,6,0)),3)</f>
        <v>31.722000000000001</v>
      </c>
      <c r="W15" s="321"/>
      <c r="X15" s="321"/>
      <c r="Y15" s="321"/>
    </row>
    <row r="16" spans="1:25">
      <c r="A16" s="219" t="s">
        <v>324</v>
      </c>
      <c r="B16" s="162">
        <v>280</v>
      </c>
      <c r="C16" s="162">
        <v>6</v>
      </c>
      <c r="D16" s="162" t="s">
        <v>17</v>
      </c>
      <c r="E16" s="162" t="s">
        <v>18</v>
      </c>
      <c r="F16" s="219" t="s">
        <v>19</v>
      </c>
      <c r="G16" s="162" t="s">
        <v>42</v>
      </c>
      <c r="H16" s="211" t="s">
        <v>43</v>
      </c>
      <c r="I16" s="269">
        <f t="shared" si="1"/>
        <v>30.077999999999999</v>
      </c>
      <c r="J16" s="269">
        <f t="shared" si="1"/>
        <v>30.923999999999999</v>
      </c>
      <c r="K16" s="269">
        <f t="shared" si="1"/>
        <v>31.794</v>
      </c>
      <c r="L16" s="269">
        <f t="shared" si="1"/>
        <v>32.691000000000003</v>
      </c>
      <c r="M16" s="269"/>
      <c r="N16" s="269"/>
      <c r="O16" s="220"/>
      <c r="P16" s="313" t="s">
        <v>445</v>
      </c>
      <c r="Q16" s="286" t="str">
        <f t="shared" si="2"/>
        <v>01588C</v>
      </c>
      <c r="R16" s="309" t="str">
        <f t="shared" si="2"/>
        <v>Cement Finisher Apprentice IV (Next 696 hours)</v>
      </c>
      <c r="S16" s="321">
        <f t="shared" si="0"/>
        <v>30.077999999999999</v>
      </c>
      <c r="T16" s="321">
        <f>ROUND(IF($P16="Y",((VLOOKUP($Q16,Rates2021,4,0)+LIUNA2022)*PercIncr2022)-LIUNA2022,VLOOKUP($Q16,Rates2021,4,0)),3)</f>
        <v>30.923999999999999</v>
      </c>
      <c r="U16" s="321">
        <f>ROUND(IF($P16="Y",((VLOOKUP($Q16,Rates2021,5,0)+LIUNA2022)*PercIncr2022)-LIUNA2022,VLOOKUP($Q16,Rates2021,5,0)),3)</f>
        <v>31.794</v>
      </c>
      <c r="V16" s="321">
        <f>ROUND(IF($P16="Y",((VLOOKUP($Q16,Rates2021,6,0)+LIUNA2022)*PercIncr2022)-LIUNA2022,VLOOKUP($Q16,Rates2021,6,0)),3)</f>
        <v>32.691000000000003</v>
      </c>
      <c r="W16" s="321"/>
      <c r="X16" s="321"/>
      <c r="Y16" s="321"/>
    </row>
    <row r="17" spans="1:26">
      <c r="A17" s="219" t="s">
        <v>52</v>
      </c>
      <c r="B17" s="162">
        <v>188</v>
      </c>
      <c r="C17" s="162">
        <v>4</v>
      </c>
      <c r="D17" s="162" t="s">
        <v>17</v>
      </c>
      <c r="E17" s="162" t="s">
        <v>18</v>
      </c>
      <c r="F17" s="219" t="s">
        <v>52</v>
      </c>
      <c r="G17" s="162" t="s">
        <v>53</v>
      </c>
      <c r="H17" s="211" t="s">
        <v>54</v>
      </c>
      <c r="I17" s="269">
        <f t="shared" si="1"/>
        <v>19.652000000000001</v>
      </c>
      <c r="J17" s="269">
        <f t="shared" si="1"/>
        <v>22.553000000000001</v>
      </c>
      <c r="K17" s="269">
        <f t="shared" si="1"/>
        <v>27.298999999999999</v>
      </c>
      <c r="L17" s="269"/>
      <c r="M17" s="269"/>
      <c r="N17" s="269"/>
      <c r="O17" s="220"/>
      <c r="P17" s="313" t="s">
        <v>445</v>
      </c>
      <c r="Q17" s="286" t="str">
        <f t="shared" si="2"/>
        <v>02616C</v>
      </c>
      <c r="R17" s="309" t="str">
        <f t="shared" si="2"/>
        <v>Constr Maint Labor WU Shop-C</v>
      </c>
      <c r="S17" s="321">
        <f t="shared" si="0"/>
        <v>19.652000000000001</v>
      </c>
      <c r="T17" s="321">
        <f>ROUND(IF($P17="Y",((VLOOKUP($Q17,Rates2021,4,0)+LIUNA2022)*PercIncr2022)-LIUNA2022,VLOOKUP($Q17,Rates2021,4,0)),3)</f>
        <v>22.553000000000001</v>
      </c>
      <c r="U17" s="321">
        <f>ROUND(IF($P17="Y",((VLOOKUP($Q17,Rates2021,5,0)+LIUNA2022)*PercIncr2022)-LIUNA2022,VLOOKUP($Q17,Rates2021,5,0)),3)</f>
        <v>27.298999999999999</v>
      </c>
      <c r="V17" s="321"/>
      <c r="W17" s="321"/>
      <c r="X17" s="321"/>
      <c r="Y17" s="321"/>
    </row>
    <row r="18" spans="1:26">
      <c r="A18" s="219" t="s">
        <v>332</v>
      </c>
      <c r="B18" s="162">
        <v>273</v>
      </c>
      <c r="C18" s="162">
        <v>6</v>
      </c>
      <c r="D18" s="162" t="s">
        <v>17</v>
      </c>
      <c r="E18" s="162" t="s">
        <v>18</v>
      </c>
      <c r="F18" s="219"/>
      <c r="G18" s="162" t="s">
        <v>377</v>
      </c>
      <c r="H18" s="211" t="s">
        <v>378</v>
      </c>
      <c r="I18" s="269">
        <f t="shared" si="1"/>
        <v>31.597000000000001</v>
      </c>
      <c r="J18" s="269"/>
      <c r="K18" s="269"/>
      <c r="L18" s="269"/>
      <c r="M18" s="269"/>
      <c r="N18" s="269"/>
      <c r="O18" s="220"/>
      <c r="P18" s="312" t="s">
        <v>445</v>
      </c>
      <c r="Q18" s="286" t="str">
        <f t="shared" si="2"/>
        <v>52921C</v>
      </c>
      <c r="R18" s="309" t="str">
        <f t="shared" si="2"/>
        <v>Construction Crew Leader</v>
      </c>
      <c r="S18" s="321">
        <f t="shared" si="0"/>
        <v>31.597000000000001</v>
      </c>
      <c r="T18" s="322"/>
      <c r="U18" s="322"/>
      <c r="V18" s="321"/>
      <c r="W18" s="321"/>
      <c r="X18" s="321"/>
      <c r="Y18" s="321"/>
      <c r="Z18" s="219"/>
    </row>
    <row r="19" spans="1:26">
      <c r="A19" s="219" t="s">
        <v>52</v>
      </c>
      <c r="B19" s="162">
        <v>188</v>
      </c>
      <c r="C19" s="162">
        <v>4</v>
      </c>
      <c r="D19" s="162" t="s">
        <v>17</v>
      </c>
      <c r="E19" s="162" t="s">
        <v>18</v>
      </c>
      <c r="F19" s="219" t="s">
        <v>52</v>
      </c>
      <c r="G19" s="162" t="s">
        <v>56</v>
      </c>
      <c r="H19" s="211" t="s">
        <v>57</v>
      </c>
      <c r="I19" s="269">
        <f t="shared" si="1"/>
        <v>19.652000000000001</v>
      </c>
      <c r="J19" s="269">
        <f t="shared" si="1"/>
        <v>22.553000000000001</v>
      </c>
      <c r="K19" s="269">
        <f t="shared" si="1"/>
        <v>27.298999999999999</v>
      </c>
      <c r="L19" s="269"/>
      <c r="M19" s="269"/>
      <c r="N19" s="269"/>
      <c r="O19" s="220"/>
      <c r="P19" s="313" t="s">
        <v>445</v>
      </c>
      <c r="Q19" s="286" t="str">
        <f t="shared" si="2"/>
        <v>02610C</v>
      </c>
      <c r="R19" s="309" t="str">
        <f t="shared" si="2"/>
        <v>Construction Maint Laborer</v>
      </c>
      <c r="S19" s="321">
        <f t="shared" si="0"/>
        <v>19.652000000000001</v>
      </c>
      <c r="T19" s="321">
        <f>ROUND(IF($P19="Y",((VLOOKUP($Q19,Rates2021,4,0)+LIUNA2022)*PercIncr2022)-LIUNA2022,VLOOKUP($Q19,Rates2021,4,0)),3)</f>
        <v>22.553000000000001</v>
      </c>
      <c r="U19" s="321">
        <f>ROUND(IF($P19="Y",((VLOOKUP($Q19,Rates2021,5,0)+LIUNA2022)*PercIncr2022)-LIUNA2022,VLOOKUP($Q19,Rates2021,5,0)),3)</f>
        <v>27.298999999999999</v>
      </c>
      <c r="V19" s="322"/>
      <c r="W19" s="321"/>
      <c r="X19" s="321"/>
      <c r="Y19" s="321"/>
    </row>
    <row r="20" spans="1:26">
      <c r="A20" s="219" t="s">
        <v>47</v>
      </c>
      <c r="B20" s="162">
        <v>153</v>
      </c>
      <c r="C20" s="162">
        <v>3</v>
      </c>
      <c r="D20" s="162" t="s">
        <v>17</v>
      </c>
      <c r="E20" s="162" t="s">
        <v>18</v>
      </c>
      <c r="F20" s="219" t="s">
        <v>47</v>
      </c>
      <c r="G20" s="162" t="s">
        <v>58</v>
      </c>
      <c r="H20" s="211" t="s">
        <v>59</v>
      </c>
      <c r="I20" s="269">
        <f t="shared" si="1"/>
        <v>16.305</v>
      </c>
      <c r="J20" s="269">
        <f t="shared" si="1"/>
        <v>18.975000000000001</v>
      </c>
      <c r="K20" s="269">
        <f t="shared" si="1"/>
        <v>20.068000000000001</v>
      </c>
      <c r="L20" s="269">
        <f t="shared" si="1"/>
        <v>25.225000000000001</v>
      </c>
      <c r="M20" s="269"/>
      <c r="N20" s="269"/>
      <c r="O20" s="220"/>
      <c r="P20" s="313" t="s">
        <v>445</v>
      </c>
      <c r="Q20" s="286" t="str">
        <f t="shared" si="2"/>
        <v>05850C</v>
      </c>
      <c r="R20" s="309" t="str">
        <f t="shared" si="2"/>
        <v>Custodian Property Services</v>
      </c>
      <c r="S20" s="321">
        <f t="shared" si="0"/>
        <v>16.305</v>
      </c>
      <c r="T20" s="321">
        <f>ROUND(IF($P20="Y",((VLOOKUP($Q20,Rates2021,4,0)+LIUNA2022)*PercIncr2022)-LIUNA2022,VLOOKUP($Q20,Rates2021,4,0)),3)</f>
        <v>18.975000000000001</v>
      </c>
      <c r="U20" s="321">
        <f>ROUND(IF($P20="Y",((VLOOKUP($Q20,Rates2021,5,0)+LIUNA2022)*PercIncr2022)-LIUNA2022,VLOOKUP($Q20,Rates2021,5,0)),3)</f>
        <v>20.068000000000001</v>
      </c>
      <c r="V20" s="321">
        <f>ROUND(IF($P20="Y",((VLOOKUP($Q20,Rates2021,6,0)+LIUNA2022)*PercIncr2022)-LIUNA2022,VLOOKUP($Q20,Rates2021,6,0)),3)</f>
        <v>25.225000000000001</v>
      </c>
      <c r="W20" s="321"/>
      <c r="X20" s="321"/>
      <c r="Y20" s="321"/>
    </row>
    <row r="21" spans="1:26">
      <c r="A21" s="219" t="s">
        <v>47</v>
      </c>
      <c r="B21" s="162">
        <v>160</v>
      </c>
      <c r="C21" s="162">
        <v>3</v>
      </c>
      <c r="D21" s="162" t="s">
        <v>17</v>
      </c>
      <c r="E21" s="162" t="s">
        <v>18</v>
      </c>
      <c r="F21" s="219" t="s">
        <v>47</v>
      </c>
      <c r="G21" s="162" t="s">
        <v>60</v>
      </c>
      <c r="H21" s="211" t="s">
        <v>61</v>
      </c>
      <c r="I21" s="269">
        <f t="shared" si="1"/>
        <v>16.305</v>
      </c>
      <c r="J21" s="269">
        <f t="shared" si="1"/>
        <v>18.975000000000001</v>
      </c>
      <c r="K21" s="269">
        <f t="shared" si="1"/>
        <v>20.068000000000001</v>
      </c>
      <c r="L21" s="269">
        <f t="shared" si="1"/>
        <v>25.225000000000001</v>
      </c>
      <c r="M21" s="269"/>
      <c r="N21" s="269"/>
      <c r="O21" s="220"/>
      <c r="P21" s="313" t="s">
        <v>445</v>
      </c>
      <c r="Q21" s="286" t="str">
        <f t="shared" si="2"/>
        <v>02960C</v>
      </c>
      <c r="R21" s="309" t="str">
        <f t="shared" si="2"/>
        <v>Delivery Worker</v>
      </c>
      <c r="S21" s="321">
        <f t="shared" si="0"/>
        <v>16.305</v>
      </c>
      <c r="T21" s="321">
        <f>ROUND(IF($P21="Y",((VLOOKUP($Q21,Rates2021,4,0)+LIUNA2022)*PercIncr2022)-LIUNA2022,VLOOKUP($Q21,Rates2021,4,0)),3)</f>
        <v>18.975000000000001</v>
      </c>
      <c r="U21" s="321">
        <f>ROUND(IF($P21="Y",((VLOOKUP($Q21,Rates2021,5,0)+LIUNA2022)*PercIncr2022)-LIUNA2022,VLOOKUP($Q21,Rates2021,5,0)),3)</f>
        <v>20.068000000000001</v>
      </c>
      <c r="V21" s="321">
        <f>ROUND(IF($P21="Y",((VLOOKUP($Q21,Rates2021,6,0)+LIUNA2022)*PercIncr2022)-LIUNA2022,VLOOKUP($Q21,Rates2021,6,0)),3)</f>
        <v>25.225000000000001</v>
      </c>
      <c r="W21" s="321"/>
      <c r="X21" s="321"/>
      <c r="Y21" s="321"/>
    </row>
    <row r="22" spans="1:26">
      <c r="A22" s="219" t="s">
        <v>62</v>
      </c>
      <c r="B22" s="162">
        <v>190</v>
      </c>
      <c r="C22" s="162">
        <v>4</v>
      </c>
      <c r="D22" s="162" t="s">
        <v>17</v>
      </c>
      <c r="E22" s="162" t="s">
        <v>18</v>
      </c>
      <c r="F22" s="219" t="s">
        <v>62</v>
      </c>
      <c r="G22" s="162" t="s">
        <v>63</v>
      </c>
      <c r="H22" s="211" t="s">
        <v>64</v>
      </c>
      <c r="I22" s="269">
        <f t="shared" si="1"/>
        <v>16.818000000000001</v>
      </c>
      <c r="J22" s="269">
        <f t="shared" si="1"/>
        <v>19.574999999999999</v>
      </c>
      <c r="K22" s="269">
        <f t="shared" si="1"/>
        <v>22.516999999999999</v>
      </c>
      <c r="L22" s="269">
        <f t="shared" si="1"/>
        <v>27.187000000000001</v>
      </c>
      <c r="M22" s="269"/>
      <c r="N22" s="269"/>
      <c r="O22" s="220"/>
      <c r="P22" s="313" t="s">
        <v>445</v>
      </c>
      <c r="Q22" s="286" t="str">
        <f t="shared" si="2"/>
        <v>04170C</v>
      </c>
      <c r="R22" s="309" t="str">
        <f t="shared" si="2"/>
        <v>Equipment Service Worker</v>
      </c>
      <c r="S22" s="321">
        <f t="shared" si="0"/>
        <v>16.818000000000001</v>
      </c>
      <c r="T22" s="321">
        <f>ROUND(IF($P22="Y",((VLOOKUP($Q22,Rates2021,4,0)+LIUNA2022)*PercIncr2022)-LIUNA2022,VLOOKUP($Q22,Rates2021,4,0)),3)</f>
        <v>19.574999999999999</v>
      </c>
      <c r="U22" s="321">
        <f>ROUND(IF($P22="Y",((VLOOKUP($Q22,Rates2021,5,0)+LIUNA2022)*PercIncr2022)-LIUNA2022,VLOOKUP($Q22,Rates2021,5,0)),3)</f>
        <v>22.516999999999999</v>
      </c>
      <c r="V22" s="321">
        <f>ROUND(IF($P22="Y",((VLOOKUP($Q22,Rates2021,6,0)+LIUNA2022)*PercIncr2022)-LIUNA2022,VLOOKUP($Q22,Rates2021,6,0)),3)</f>
        <v>27.187000000000001</v>
      </c>
      <c r="W22" s="321"/>
      <c r="X22" s="321"/>
      <c r="Y22" s="321"/>
    </row>
    <row r="23" spans="1:26">
      <c r="A23" s="219" t="s">
        <v>65</v>
      </c>
      <c r="B23" s="162">
        <v>263</v>
      </c>
      <c r="C23" s="162">
        <v>5</v>
      </c>
      <c r="D23" s="162" t="s">
        <v>17</v>
      </c>
      <c r="E23" s="162" t="s">
        <v>18</v>
      </c>
      <c r="F23" s="219" t="s">
        <v>65</v>
      </c>
      <c r="G23" s="162" t="s">
        <v>66</v>
      </c>
      <c r="H23" s="211" t="s">
        <v>67</v>
      </c>
      <c r="I23" s="269">
        <f t="shared" si="1"/>
        <v>26.221</v>
      </c>
      <c r="J23" s="269">
        <f t="shared" si="1"/>
        <v>27.100999999999999</v>
      </c>
      <c r="K23" s="269">
        <f t="shared" si="1"/>
        <v>28.013000000000002</v>
      </c>
      <c r="L23" s="269">
        <f t="shared" si="1"/>
        <v>29.137</v>
      </c>
      <c r="M23" s="269"/>
      <c r="N23" s="269"/>
      <c r="O23" s="220"/>
      <c r="P23" s="313" t="s">
        <v>445</v>
      </c>
      <c r="Q23" s="286" t="str">
        <f t="shared" si="2"/>
        <v>05958C</v>
      </c>
      <c r="R23" s="309" t="str">
        <f t="shared" si="2"/>
        <v>Lead Custodian Property Services</v>
      </c>
      <c r="S23" s="321">
        <f t="shared" si="0"/>
        <v>26.221</v>
      </c>
      <c r="T23" s="321">
        <f>ROUND(IF($P23="Y",((VLOOKUP($Q23,Rates2021,4,0)+LIUNA2022)*PercIncr2022)-LIUNA2022,VLOOKUP($Q23,Rates2021,4,0)),3)</f>
        <v>27.100999999999999</v>
      </c>
      <c r="U23" s="321">
        <f>ROUND(IF($P23="Y",((VLOOKUP($Q23,Rates2021,5,0)+LIUNA2022)*PercIncr2022)-LIUNA2022,VLOOKUP($Q23,Rates2021,5,0)),3)</f>
        <v>28.013000000000002</v>
      </c>
      <c r="V23" s="321">
        <f>ROUND(IF($P23="Y",((VLOOKUP($Q23,Rates2021,6,0)+LIUNA2022)*PercIncr2022)-LIUNA2022,VLOOKUP($Q23,Rates2021,6,0)),3)</f>
        <v>29.137</v>
      </c>
      <c r="W23" s="321"/>
      <c r="X23" s="321"/>
      <c r="Y23" s="321"/>
    </row>
    <row r="24" spans="1:26">
      <c r="A24" s="219">
        <v>11</v>
      </c>
      <c r="B24" s="162">
        <v>205</v>
      </c>
      <c r="C24" s="162">
        <v>4</v>
      </c>
      <c r="D24" s="162" t="s">
        <v>17</v>
      </c>
      <c r="E24" s="162" t="s">
        <v>18</v>
      </c>
      <c r="F24" s="219">
        <v>11</v>
      </c>
      <c r="G24" s="162" t="s">
        <v>68</v>
      </c>
      <c r="H24" s="211" t="s">
        <v>325</v>
      </c>
      <c r="I24" s="269">
        <f t="shared" si="1"/>
        <v>29.765000000000001</v>
      </c>
      <c r="J24" s="269"/>
      <c r="K24" s="269"/>
      <c r="L24" s="269"/>
      <c r="M24" s="269"/>
      <c r="N24" s="269"/>
      <c r="O24" s="220"/>
      <c r="P24" s="312" t="s">
        <v>445</v>
      </c>
      <c r="Q24" s="286" t="str">
        <f t="shared" si="2"/>
        <v>06030C</v>
      </c>
      <c r="R24" s="309" t="str">
        <f t="shared" si="2"/>
        <v>Lead Pipe Layer I (Paving Const.)</v>
      </c>
      <c r="S24" s="321">
        <f t="shared" si="0"/>
        <v>29.765000000000001</v>
      </c>
      <c r="T24" s="321"/>
      <c r="U24" s="321"/>
      <c r="V24" s="321"/>
      <c r="W24" s="321"/>
      <c r="X24" s="321"/>
      <c r="Y24" s="321"/>
    </row>
    <row r="25" spans="1:26">
      <c r="A25" s="219" t="s">
        <v>319</v>
      </c>
      <c r="B25" s="162">
        <v>205</v>
      </c>
      <c r="C25" s="162">
        <v>4</v>
      </c>
      <c r="D25" s="162" t="s">
        <v>17</v>
      </c>
      <c r="E25" s="162" t="s">
        <v>18</v>
      </c>
      <c r="F25" s="219" t="s">
        <v>19</v>
      </c>
      <c r="G25" s="162" t="s">
        <v>71</v>
      </c>
      <c r="H25" s="223" t="s">
        <v>379</v>
      </c>
      <c r="I25" s="269">
        <f t="shared" si="1"/>
        <v>27.042000000000002</v>
      </c>
      <c r="J25" s="269">
        <f t="shared" si="1"/>
        <v>27.887</v>
      </c>
      <c r="K25" s="269">
        <f t="shared" si="1"/>
        <v>28.757999999999999</v>
      </c>
      <c r="L25" s="269">
        <f t="shared" si="1"/>
        <v>29.655000000000001</v>
      </c>
      <c r="M25" s="269"/>
      <c r="N25" s="269"/>
      <c r="O25" s="220"/>
      <c r="P25" s="312" t="s">
        <v>445</v>
      </c>
      <c r="Q25" s="286" t="str">
        <f t="shared" si="2"/>
        <v>06035C</v>
      </c>
      <c r="R25" s="309" t="str">
        <f t="shared" si="2"/>
        <v>Lead Pipe Layer I (Paving Const.) Apprentice I (1st 522 hours)</v>
      </c>
      <c r="S25" s="321">
        <f t="shared" si="0"/>
        <v>27.042000000000002</v>
      </c>
      <c r="T25" s="321">
        <f>ROUND(IF($P25="Y",((VLOOKUP($Q25,Rates2021,4,0)+LIUNA2022)*PercIncr2022)-LIUNA2022,VLOOKUP($Q25,Rates2021,4,0)),3)</f>
        <v>27.887</v>
      </c>
      <c r="U25" s="321">
        <f>ROUND(IF($P25="Y",((VLOOKUP($Q25,Rates2021,5,0)+LIUNA2022)*PercIncr2022)-LIUNA2022,VLOOKUP($Q25,Rates2021,5,0)),3)</f>
        <v>28.757999999999999</v>
      </c>
      <c r="V25" s="321">
        <f>ROUND(IF($P25="Y",((VLOOKUP($Q25,Rates2021,6,0)+LIUNA2022)*PercIncr2022)-LIUNA2022,VLOOKUP($Q25,Rates2021,6,0)),3)</f>
        <v>29.655000000000001</v>
      </c>
      <c r="W25" s="321"/>
      <c r="X25" s="321"/>
      <c r="Y25" s="321"/>
    </row>
    <row r="26" spans="1:26">
      <c r="A26" s="219" t="s">
        <v>321</v>
      </c>
      <c r="B26" s="162">
        <v>205</v>
      </c>
      <c r="C26" s="162">
        <v>4</v>
      </c>
      <c r="D26" s="162" t="s">
        <v>17</v>
      </c>
      <c r="E26" s="162" t="s">
        <v>18</v>
      </c>
      <c r="F26" s="219" t="s">
        <v>19</v>
      </c>
      <c r="G26" s="162" t="s">
        <v>74</v>
      </c>
      <c r="H26" s="223" t="s">
        <v>326</v>
      </c>
      <c r="I26" s="269">
        <f t="shared" si="1"/>
        <v>27.494</v>
      </c>
      <c r="J26" s="269">
        <f t="shared" si="1"/>
        <v>28.34</v>
      </c>
      <c r="K26" s="269">
        <f t="shared" si="1"/>
        <v>29.21</v>
      </c>
      <c r="L26" s="269">
        <f t="shared" si="1"/>
        <v>30.106999999999999</v>
      </c>
      <c r="M26" s="269"/>
      <c r="N26" s="269"/>
      <c r="O26" s="220"/>
      <c r="P26" s="312" t="s">
        <v>445</v>
      </c>
      <c r="Q26" s="286" t="str">
        <f t="shared" si="2"/>
        <v>06037C</v>
      </c>
      <c r="R26" s="309" t="str">
        <f t="shared" si="2"/>
        <v>Lead Pipe Layer I (Paving Const.) Apprentice II (2nd 522 hours)</v>
      </c>
      <c r="S26" s="321">
        <f t="shared" si="0"/>
        <v>27.494</v>
      </c>
      <c r="T26" s="321">
        <f>ROUND(IF($P26="Y",((VLOOKUP($Q26,Rates2021,4,0)+LIUNA2022)*PercIncr2022)-LIUNA2022,VLOOKUP($Q26,Rates2021,4,0)),3)</f>
        <v>28.34</v>
      </c>
      <c r="U26" s="321">
        <f>ROUND(IF($P26="Y",((VLOOKUP($Q26,Rates2021,5,0)+LIUNA2022)*PercIncr2022)-LIUNA2022,VLOOKUP($Q26,Rates2021,5,0)),3)</f>
        <v>29.21</v>
      </c>
      <c r="V26" s="321">
        <f>ROUND(IF($P26="Y",((VLOOKUP($Q26,Rates2021,6,0)+LIUNA2022)*PercIncr2022)-LIUNA2022,VLOOKUP($Q26,Rates2021,6,0)),3)</f>
        <v>30.106999999999999</v>
      </c>
      <c r="W26" s="321"/>
      <c r="X26" s="321"/>
      <c r="Y26" s="321"/>
    </row>
    <row r="27" spans="1:26">
      <c r="A27" s="219" t="s">
        <v>76</v>
      </c>
      <c r="B27" s="162">
        <v>205</v>
      </c>
      <c r="C27" s="162">
        <v>4</v>
      </c>
      <c r="D27" s="162" t="s">
        <v>17</v>
      </c>
      <c r="E27" s="162" t="s">
        <v>18</v>
      </c>
      <c r="F27" s="219" t="s">
        <v>76</v>
      </c>
      <c r="G27" s="162" t="s">
        <v>77</v>
      </c>
      <c r="H27" s="211" t="s">
        <v>327</v>
      </c>
      <c r="I27" s="269">
        <f t="shared" si="1"/>
        <v>30.071000000000002</v>
      </c>
      <c r="J27" s="269"/>
      <c r="K27" s="269"/>
      <c r="L27" s="269"/>
      <c r="M27" s="269"/>
      <c r="N27" s="269"/>
      <c r="O27" s="220"/>
      <c r="P27" s="312" t="s">
        <v>445</v>
      </c>
      <c r="Q27" s="286" t="str">
        <f t="shared" si="2"/>
        <v>06050C</v>
      </c>
      <c r="R27" s="309" t="str">
        <f t="shared" si="2"/>
        <v>Lead Pipe Layer II (Water Const.)</v>
      </c>
      <c r="S27" s="321">
        <f t="shared" si="0"/>
        <v>30.071000000000002</v>
      </c>
      <c r="T27" s="323"/>
      <c r="U27" s="321"/>
      <c r="V27" s="322"/>
      <c r="W27" s="321"/>
      <c r="X27" s="321"/>
      <c r="Y27" s="321"/>
    </row>
    <row r="28" spans="1:26">
      <c r="A28" s="219" t="s">
        <v>319</v>
      </c>
      <c r="B28" s="162">
        <v>205</v>
      </c>
      <c r="C28" s="162">
        <v>4</v>
      </c>
      <c r="D28" s="162" t="s">
        <v>17</v>
      </c>
      <c r="E28" s="162" t="s">
        <v>18</v>
      </c>
      <c r="F28" s="219" t="s">
        <v>19</v>
      </c>
      <c r="G28" s="162" t="s">
        <v>80</v>
      </c>
      <c r="H28" s="223" t="s">
        <v>328</v>
      </c>
      <c r="I28" s="269">
        <f t="shared" si="1"/>
        <v>27.042000000000002</v>
      </c>
      <c r="J28" s="269">
        <f t="shared" si="1"/>
        <v>27.887</v>
      </c>
      <c r="K28" s="269">
        <f t="shared" si="1"/>
        <v>28.757999999999999</v>
      </c>
      <c r="L28" s="269">
        <f t="shared" si="1"/>
        <v>29.655000000000001</v>
      </c>
      <c r="M28" s="269"/>
      <c r="N28" s="269"/>
      <c r="O28" s="220"/>
      <c r="P28" s="312" t="s">
        <v>445</v>
      </c>
      <c r="Q28" s="286" t="str">
        <f t="shared" si="2"/>
        <v>06056C</v>
      </c>
      <c r="R28" s="309" t="str">
        <f t="shared" si="2"/>
        <v>Lead Pipe Layer II (Water Const.) Apprentice I (1st 522 hours)</v>
      </c>
      <c r="S28" s="321">
        <f t="shared" si="0"/>
        <v>27.042000000000002</v>
      </c>
      <c r="T28" s="321">
        <f>ROUND(IF($P28="Y",((VLOOKUP($Q28,Rates2021,4,0)+LIUNA2022)*PercIncr2022)-LIUNA2022,VLOOKUP($Q28,Rates2021,4,0)),3)</f>
        <v>27.887</v>
      </c>
      <c r="U28" s="321">
        <f>ROUND(IF($P28="Y",((VLOOKUP($Q28,Rates2021,5,0)+LIUNA2022)*PercIncr2022)-LIUNA2022,VLOOKUP($Q28,Rates2021,5,0)),3)</f>
        <v>28.757999999999999</v>
      </c>
      <c r="V28" s="321">
        <f>ROUND(IF($P28="Y",((VLOOKUP($Q28,Rates2021,6,0)+LIUNA2022)*PercIncr2022)-LIUNA2022,VLOOKUP($Q28,Rates2021,6,0)),3)</f>
        <v>29.655000000000001</v>
      </c>
      <c r="W28" s="321"/>
      <c r="X28" s="321"/>
      <c r="Y28" s="321"/>
    </row>
    <row r="29" spans="1:26">
      <c r="A29" s="219" t="s">
        <v>321</v>
      </c>
      <c r="B29" s="162">
        <v>205</v>
      </c>
      <c r="C29" s="162">
        <v>4</v>
      </c>
      <c r="D29" s="162" t="s">
        <v>17</v>
      </c>
      <c r="E29" s="162" t="s">
        <v>18</v>
      </c>
      <c r="F29" s="219" t="s">
        <v>19</v>
      </c>
      <c r="G29" s="162" t="s">
        <v>83</v>
      </c>
      <c r="H29" s="223" t="s">
        <v>329</v>
      </c>
      <c r="I29" s="269">
        <f t="shared" si="1"/>
        <v>27.494</v>
      </c>
      <c r="J29" s="269">
        <f t="shared" si="1"/>
        <v>28.34</v>
      </c>
      <c r="K29" s="269">
        <f t="shared" si="1"/>
        <v>29.21</v>
      </c>
      <c r="L29" s="269">
        <f t="shared" si="1"/>
        <v>30.106999999999999</v>
      </c>
      <c r="M29" s="269"/>
      <c r="N29" s="269"/>
      <c r="O29" s="220"/>
      <c r="P29" s="312" t="s">
        <v>445</v>
      </c>
      <c r="Q29" s="286" t="str">
        <f t="shared" si="2"/>
        <v>06057C</v>
      </c>
      <c r="R29" s="309" t="str">
        <f t="shared" si="2"/>
        <v>Lead Pipe Layer II (Water Const.) Apprentice II (2nd 522 hours)</v>
      </c>
      <c r="S29" s="321">
        <f t="shared" si="0"/>
        <v>27.494</v>
      </c>
      <c r="T29" s="321">
        <f>ROUND(IF($P29="Y",((VLOOKUP($Q29,Rates2021,4,0)+LIUNA2022)*PercIncr2022)-LIUNA2022,VLOOKUP($Q29,Rates2021,4,0)),3)</f>
        <v>28.34</v>
      </c>
      <c r="U29" s="321">
        <f>ROUND(IF($P29="Y",((VLOOKUP($Q29,Rates2021,5,0)+LIUNA2022)*PercIncr2022)-LIUNA2022,VLOOKUP($Q29,Rates2021,5,0)),3)</f>
        <v>29.21</v>
      </c>
      <c r="V29" s="321">
        <f>ROUND(IF($P29="Y",((VLOOKUP($Q29,Rates2021,6,0)+LIUNA2022)*PercIncr2022)-LIUNA2022,VLOOKUP($Q29,Rates2021,6,0)),3)</f>
        <v>30.106999999999999</v>
      </c>
      <c r="W29" s="321"/>
      <c r="X29" s="321"/>
      <c r="Y29" s="321"/>
    </row>
    <row r="30" spans="1:26">
      <c r="A30" s="219" t="s">
        <v>330</v>
      </c>
      <c r="B30" s="162">
        <v>205</v>
      </c>
      <c r="C30" s="162">
        <v>4</v>
      </c>
      <c r="D30" s="162" t="s">
        <v>17</v>
      </c>
      <c r="E30" s="162" t="s">
        <v>18</v>
      </c>
      <c r="F30" s="219" t="s">
        <v>19</v>
      </c>
      <c r="G30" s="162" t="s">
        <v>86</v>
      </c>
      <c r="H30" s="223" t="s">
        <v>331</v>
      </c>
      <c r="I30" s="269">
        <f t="shared" si="1"/>
        <v>27.751999999999999</v>
      </c>
      <c r="J30" s="269">
        <f t="shared" si="1"/>
        <v>28.597999999999999</v>
      </c>
      <c r="K30" s="269">
        <f t="shared" si="1"/>
        <v>29.468</v>
      </c>
      <c r="L30" s="269">
        <f t="shared" si="1"/>
        <v>30.364999999999998</v>
      </c>
      <c r="M30" s="269"/>
      <c r="N30" s="269"/>
      <c r="O30" s="220"/>
      <c r="P30" s="312" t="s">
        <v>445</v>
      </c>
      <c r="Q30" s="286" t="str">
        <f t="shared" si="2"/>
        <v>06058C</v>
      </c>
      <c r="R30" s="309" t="str">
        <f t="shared" si="2"/>
        <v>Lead Pipe Layer II (Water Const.) Apprentice III (3rd 522 hours)</v>
      </c>
      <c r="S30" s="321">
        <f t="shared" si="0"/>
        <v>27.751999999999999</v>
      </c>
      <c r="T30" s="321">
        <f>ROUND(IF($P30="Y",((VLOOKUP($Q30,Rates2021,4,0)+LIUNA2022)*PercIncr2022)-LIUNA2022,VLOOKUP($Q30,Rates2021,4,0)),3)</f>
        <v>28.597999999999999</v>
      </c>
      <c r="U30" s="321">
        <f>ROUND(IF($P30="Y",((VLOOKUP($Q30,Rates2021,5,0)+LIUNA2022)*PercIncr2022)-LIUNA2022,VLOOKUP($Q30,Rates2021,5,0)),3)</f>
        <v>29.468</v>
      </c>
      <c r="V30" s="321">
        <f>ROUND(IF($P30="Y",((VLOOKUP($Q30,Rates2021,6,0)+LIUNA2022)*PercIncr2022)-LIUNA2022,VLOOKUP($Q30,Rates2021,6,0)),3)</f>
        <v>30.364999999999998</v>
      </c>
      <c r="W30" s="321"/>
      <c r="X30" s="321"/>
      <c r="Y30" s="321"/>
    </row>
    <row r="31" spans="1:26">
      <c r="A31" s="219" t="s">
        <v>332</v>
      </c>
      <c r="B31" s="162">
        <v>205</v>
      </c>
      <c r="C31" s="162">
        <v>4</v>
      </c>
      <c r="D31" s="162" t="s">
        <v>17</v>
      </c>
      <c r="E31" s="162" t="s">
        <v>18</v>
      </c>
      <c r="F31" s="219" t="s">
        <v>88</v>
      </c>
      <c r="G31" s="162" t="s">
        <v>90</v>
      </c>
      <c r="H31" s="223" t="s">
        <v>333</v>
      </c>
      <c r="I31" s="269">
        <f t="shared" si="1"/>
        <v>31.597000000000001</v>
      </c>
      <c r="J31" s="269"/>
      <c r="K31" s="269"/>
      <c r="L31" s="269"/>
      <c r="M31" s="269"/>
      <c r="N31" s="269"/>
      <c r="O31" s="220"/>
      <c r="P31" s="312" t="s">
        <v>445</v>
      </c>
      <c r="Q31" s="286" t="str">
        <f t="shared" si="2"/>
        <v>06066C</v>
      </c>
      <c r="R31" s="309" t="str">
        <f t="shared" si="2"/>
        <v>Lead Pipe Layer III (Sewer Const.)</v>
      </c>
      <c r="S31" s="321">
        <f t="shared" si="0"/>
        <v>31.597000000000001</v>
      </c>
      <c r="T31" s="321"/>
      <c r="U31" s="321"/>
      <c r="V31" s="322"/>
      <c r="W31" s="321"/>
      <c r="X31" s="321"/>
      <c r="Y31" s="321"/>
    </row>
    <row r="32" spans="1:26">
      <c r="A32" s="219" t="s">
        <v>319</v>
      </c>
      <c r="B32" s="162">
        <v>205</v>
      </c>
      <c r="C32" s="162">
        <v>4</v>
      </c>
      <c r="D32" s="162" t="s">
        <v>17</v>
      </c>
      <c r="E32" s="162" t="s">
        <v>18</v>
      </c>
      <c r="F32" s="219" t="s">
        <v>19</v>
      </c>
      <c r="G32" s="162" t="s">
        <v>93</v>
      </c>
      <c r="H32" s="223" t="s">
        <v>334</v>
      </c>
      <c r="I32" s="269">
        <f t="shared" si="1"/>
        <v>27.042000000000002</v>
      </c>
      <c r="J32" s="269">
        <f t="shared" si="1"/>
        <v>27.887</v>
      </c>
      <c r="K32" s="269">
        <f t="shared" si="1"/>
        <v>28.757999999999999</v>
      </c>
      <c r="L32" s="269">
        <f t="shared" si="1"/>
        <v>29.655000000000001</v>
      </c>
      <c r="M32" s="269"/>
      <c r="N32" s="269"/>
      <c r="O32" s="220"/>
      <c r="P32" s="312" t="s">
        <v>445</v>
      </c>
      <c r="Q32" s="286" t="str">
        <f t="shared" si="2"/>
        <v>06067C</v>
      </c>
      <c r="R32" s="309" t="str">
        <f t="shared" si="2"/>
        <v>Lead Pipe Layer III (Sewer Const.) Apprentice I (1st 522 hours)</v>
      </c>
      <c r="S32" s="321">
        <f t="shared" si="0"/>
        <v>27.042000000000002</v>
      </c>
      <c r="T32" s="321">
        <f>ROUND(IF($P32="Y",((VLOOKUP($Q32,Rates2021,4,0)+LIUNA2022)*PercIncr2022)-LIUNA2022,VLOOKUP($Q32,Rates2021,4,0)),3)</f>
        <v>27.887</v>
      </c>
      <c r="U32" s="321">
        <f>ROUND(IF($P32="Y",((VLOOKUP($Q32,Rates2021,5,0)+LIUNA2022)*PercIncr2022)-LIUNA2022,VLOOKUP($Q32,Rates2021,5,0)),3)</f>
        <v>28.757999999999999</v>
      </c>
      <c r="V32" s="321">
        <f>ROUND(IF($P32="Y",((VLOOKUP($Q32,Rates2021,6,0)+LIUNA2022)*PercIncr2022)-LIUNA2022,VLOOKUP($Q32,Rates2021,6,0)),3)</f>
        <v>29.655000000000001</v>
      </c>
      <c r="W32" s="321"/>
      <c r="X32" s="321"/>
      <c r="Y32" s="321"/>
    </row>
    <row r="33" spans="1:25">
      <c r="A33" s="219" t="s">
        <v>321</v>
      </c>
      <c r="B33" s="162">
        <v>205</v>
      </c>
      <c r="C33" s="162">
        <v>4</v>
      </c>
      <c r="D33" s="162" t="s">
        <v>17</v>
      </c>
      <c r="E33" s="162" t="s">
        <v>18</v>
      </c>
      <c r="F33" s="219" t="s">
        <v>19</v>
      </c>
      <c r="G33" s="162" t="s">
        <v>96</v>
      </c>
      <c r="H33" s="223" t="s">
        <v>335</v>
      </c>
      <c r="I33" s="269">
        <f t="shared" si="1"/>
        <v>27.494</v>
      </c>
      <c r="J33" s="269">
        <f t="shared" si="1"/>
        <v>28.34</v>
      </c>
      <c r="K33" s="269">
        <f t="shared" si="1"/>
        <v>29.21</v>
      </c>
      <c r="L33" s="269">
        <f t="shared" si="1"/>
        <v>30.106999999999999</v>
      </c>
      <c r="M33" s="269"/>
      <c r="N33" s="269"/>
      <c r="O33" s="220"/>
      <c r="P33" s="312" t="s">
        <v>445</v>
      </c>
      <c r="Q33" s="286" t="str">
        <f t="shared" si="2"/>
        <v>06068C</v>
      </c>
      <c r="R33" s="309" t="str">
        <f t="shared" si="2"/>
        <v>Lead Pipe Layer III (Sewer Const.) Apprentice II (2nd 522 hours)</v>
      </c>
      <c r="S33" s="321">
        <f t="shared" si="0"/>
        <v>27.494</v>
      </c>
      <c r="T33" s="321">
        <f>ROUND(IF($P33="Y",((VLOOKUP($Q33,Rates2021,4,0)+LIUNA2022)*PercIncr2022)-LIUNA2022,VLOOKUP($Q33,Rates2021,4,0)),3)</f>
        <v>28.34</v>
      </c>
      <c r="U33" s="321">
        <f>ROUND(IF($P33="Y",((VLOOKUP($Q33,Rates2021,5,0)+LIUNA2022)*PercIncr2022)-LIUNA2022,VLOOKUP($Q33,Rates2021,5,0)),3)</f>
        <v>29.21</v>
      </c>
      <c r="V33" s="321">
        <f>ROUND(IF($P33="Y",((VLOOKUP($Q33,Rates2021,6,0)+LIUNA2022)*PercIncr2022)-LIUNA2022,VLOOKUP($Q33,Rates2021,6,0)),3)</f>
        <v>30.106999999999999</v>
      </c>
      <c r="W33" s="321"/>
      <c r="X33" s="321"/>
      <c r="Y33" s="321"/>
    </row>
    <row r="34" spans="1:25">
      <c r="A34" s="219" t="s">
        <v>330</v>
      </c>
      <c r="B34" s="162">
        <v>205</v>
      </c>
      <c r="C34" s="162">
        <v>4</v>
      </c>
      <c r="D34" s="162" t="s">
        <v>17</v>
      </c>
      <c r="E34" s="162" t="s">
        <v>18</v>
      </c>
      <c r="F34" s="219" t="s">
        <v>19</v>
      </c>
      <c r="G34" s="162" t="s">
        <v>99</v>
      </c>
      <c r="H34" s="223" t="s">
        <v>336</v>
      </c>
      <c r="I34" s="269">
        <f t="shared" si="1"/>
        <v>27.751999999999999</v>
      </c>
      <c r="J34" s="269">
        <f t="shared" si="1"/>
        <v>28.597999999999999</v>
      </c>
      <c r="K34" s="269">
        <f t="shared" si="1"/>
        <v>29.468</v>
      </c>
      <c r="L34" s="269">
        <f t="shared" si="1"/>
        <v>30.364999999999998</v>
      </c>
      <c r="M34" s="269"/>
      <c r="N34" s="269"/>
      <c r="O34" s="220"/>
      <c r="P34" s="312" t="s">
        <v>445</v>
      </c>
      <c r="Q34" s="286" t="str">
        <f t="shared" si="2"/>
        <v>06069C</v>
      </c>
      <c r="R34" s="309" t="str">
        <f t="shared" si="2"/>
        <v>Lead Pipe Layer III (Sewer Const.) Apprentice III (3rd 522 hours)</v>
      </c>
      <c r="S34" s="321">
        <f t="shared" si="0"/>
        <v>27.751999999999999</v>
      </c>
      <c r="T34" s="321">
        <f>ROUND(IF($P34="Y",((VLOOKUP($Q34,Rates2021,4,0)+LIUNA2022)*PercIncr2022)-LIUNA2022,VLOOKUP($Q34,Rates2021,4,0)),3)</f>
        <v>28.597999999999999</v>
      </c>
      <c r="U34" s="321">
        <f>ROUND(IF($P34="Y",((VLOOKUP($Q34,Rates2021,5,0)+LIUNA2022)*PercIncr2022)-LIUNA2022,VLOOKUP($Q34,Rates2021,5,0)),3)</f>
        <v>29.468</v>
      </c>
      <c r="V34" s="321">
        <f>ROUND(IF($P34="Y",((VLOOKUP($Q34,Rates2021,6,0)+LIUNA2022)*PercIncr2022)-LIUNA2022,VLOOKUP($Q34,Rates2021,6,0)),3)</f>
        <v>30.364999999999998</v>
      </c>
      <c r="W34" s="321"/>
      <c r="X34" s="321"/>
      <c r="Y34" s="321"/>
    </row>
    <row r="35" spans="1:25">
      <c r="A35" s="219" t="s">
        <v>332</v>
      </c>
      <c r="B35" s="162">
        <v>273</v>
      </c>
      <c r="C35" s="162">
        <v>6</v>
      </c>
      <c r="D35" s="162" t="s">
        <v>17</v>
      </c>
      <c r="E35" s="162" t="s">
        <v>18</v>
      </c>
      <c r="F35" s="219">
        <v>19</v>
      </c>
      <c r="G35" s="162" t="s">
        <v>101</v>
      </c>
      <c r="H35" s="211" t="s">
        <v>102</v>
      </c>
      <c r="I35" s="269">
        <f t="shared" si="1"/>
        <v>31.597000000000001</v>
      </c>
      <c r="J35" s="269"/>
      <c r="K35" s="269"/>
      <c r="L35" s="269"/>
      <c r="M35" s="269"/>
      <c r="N35" s="269"/>
      <c r="O35" s="220"/>
      <c r="P35" s="312" t="s">
        <v>445</v>
      </c>
      <c r="Q35" s="286" t="str">
        <f t="shared" si="2"/>
        <v>06462C</v>
      </c>
      <c r="R35" s="309" t="str">
        <f t="shared" si="2"/>
        <v>Maintenance Crew Ldr - Bridge</v>
      </c>
      <c r="S35" s="321">
        <f t="shared" si="0"/>
        <v>31.597000000000001</v>
      </c>
      <c r="T35" s="321"/>
      <c r="U35" s="321"/>
      <c r="V35" s="322"/>
      <c r="W35" s="321"/>
      <c r="X35" s="321"/>
      <c r="Y35" s="321"/>
    </row>
    <row r="36" spans="1:25">
      <c r="A36" s="219" t="s">
        <v>332</v>
      </c>
      <c r="B36" s="162">
        <v>273</v>
      </c>
      <c r="C36" s="162">
        <v>6</v>
      </c>
      <c r="D36" s="162" t="s">
        <v>17</v>
      </c>
      <c r="E36" s="162" t="s">
        <v>18</v>
      </c>
      <c r="F36" s="219" t="s">
        <v>88</v>
      </c>
      <c r="G36" s="162" t="s">
        <v>103</v>
      </c>
      <c r="H36" s="211" t="s">
        <v>104</v>
      </c>
      <c r="I36" s="269">
        <f t="shared" si="1"/>
        <v>31.597000000000001</v>
      </c>
      <c r="J36" s="269"/>
      <c r="K36" s="269"/>
      <c r="L36" s="269"/>
      <c r="M36" s="269"/>
      <c r="N36" s="269"/>
      <c r="O36" s="220"/>
      <c r="P36" s="312" t="s">
        <v>445</v>
      </c>
      <c r="Q36" s="286" t="str">
        <f t="shared" si="2"/>
        <v>06464C</v>
      </c>
      <c r="R36" s="309" t="str">
        <f t="shared" si="2"/>
        <v>Maintenance Crew Ldr - Sewer</v>
      </c>
      <c r="S36" s="321">
        <f t="shared" si="0"/>
        <v>31.597000000000001</v>
      </c>
      <c r="T36" s="321"/>
      <c r="U36" s="321"/>
      <c r="V36" s="322"/>
      <c r="W36" s="321"/>
      <c r="X36" s="321"/>
      <c r="Y36" s="321"/>
    </row>
    <row r="37" spans="1:25">
      <c r="A37" s="219" t="s">
        <v>332</v>
      </c>
      <c r="B37" s="162">
        <v>273</v>
      </c>
      <c r="C37" s="162">
        <v>6</v>
      </c>
      <c r="D37" s="162" t="s">
        <v>17</v>
      </c>
      <c r="E37" s="162" t="s">
        <v>18</v>
      </c>
      <c r="F37" s="219">
        <v>19</v>
      </c>
      <c r="G37" s="162" t="s">
        <v>105</v>
      </c>
      <c r="H37" s="211" t="s">
        <v>106</v>
      </c>
      <c r="I37" s="269">
        <f t="shared" si="1"/>
        <v>31.597000000000001</v>
      </c>
      <c r="J37" s="269"/>
      <c r="K37" s="269"/>
      <c r="L37" s="269"/>
      <c r="M37" s="269"/>
      <c r="N37" s="269"/>
      <c r="O37" s="220"/>
      <c r="P37" s="312" t="s">
        <v>445</v>
      </c>
      <c r="Q37" s="286" t="str">
        <f t="shared" si="2"/>
        <v>06465C</v>
      </c>
      <c r="R37" s="309" t="str">
        <f t="shared" si="2"/>
        <v>Maintenance Crew Ldr - Sol Waste</v>
      </c>
      <c r="S37" s="321">
        <f t="shared" si="0"/>
        <v>31.597000000000001</v>
      </c>
      <c r="T37" s="321"/>
      <c r="U37" s="321"/>
      <c r="V37" s="322"/>
      <c r="W37" s="321"/>
      <c r="X37" s="321"/>
      <c r="Y37" s="321"/>
    </row>
    <row r="38" spans="1:25">
      <c r="A38" s="219" t="s">
        <v>332</v>
      </c>
      <c r="B38" s="162">
        <v>273</v>
      </c>
      <c r="C38" s="162">
        <v>6</v>
      </c>
      <c r="D38" s="162" t="s">
        <v>17</v>
      </c>
      <c r="E38" s="162" t="s">
        <v>18</v>
      </c>
      <c r="F38" s="219">
        <v>19</v>
      </c>
      <c r="G38" s="162" t="s">
        <v>107</v>
      </c>
      <c r="H38" s="211" t="s">
        <v>108</v>
      </c>
      <c r="I38" s="269">
        <f t="shared" si="1"/>
        <v>31.597000000000001</v>
      </c>
      <c r="J38" s="269"/>
      <c r="K38" s="269"/>
      <c r="L38" s="269"/>
      <c r="M38" s="269"/>
      <c r="N38" s="269"/>
      <c r="O38" s="220"/>
      <c r="P38" s="312" t="s">
        <v>445</v>
      </c>
      <c r="Q38" s="286" t="str">
        <f t="shared" si="2"/>
        <v>06466C</v>
      </c>
      <c r="R38" s="309" t="str">
        <f t="shared" si="2"/>
        <v>Maintenance Crew Ldr - Streets</v>
      </c>
      <c r="S38" s="321">
        <f t="shared" si="0"/>
        <v>31.597000000000001</v>
      </c>
      <c r="T38" s="321"/>
      <c r="U38" s="321"/>
      <c r="V38" s="322"/>
      <c r="W38" s="321"/>
      <c r="X38" s="321"/>
      <c r="Y38" s="321"/>
    </row>
    <row r="39" spans="1:25">
      <c r="A39" s="219" t="s">
        <v>332</v>
      </c>
      <c r="B39" s="162">
        <v>273</v>
      </c>
      <c r="C39" s="162">
        <v>6</v>
      </c>
      <c r="D39" s="162" t="s">
        <v>17</v>
      </c>
      <c r="E39" s="162" t="s">
        <v>18</v>
      </c>
      <c r="F39" s="219">
        <v>19</v>
      </c>
      <c r="G39" s="162" t="s">
        <v>109</v>
      </c>
      <c r="H39" s="211" t="s">
        <v>110</v>
      </c>
      <c r="I39" s="269">
        <f t="shared" si="1"/>
        <v>31.597000000000001</v>
      </c>
      <c r="J39" s="269"/>
      <c r="K39" s="269"/>
      <c r="L39" s="269"/>
      <c r="M39" s="269"/>
      <c r="N39" s="269"/>
      <c r="O39" s="220"/>
      <c r="P39" s="312" t="s">
        <v>445</v>
      </c>
      <c r="Q39" s="286" t="str">
        <f t="shared" si="2"/>
        <v>06468C</v>
      </c>
      <c r="R39" s="309" t="str">
        <f t="shared" si="2"/>
        <v>Maintenance Crew Ldr - Traffic</v>
      </c>
      <c r="S39" s="321">
        <f t="shared" si="0"/>
        <v>31.597000000000001</v>
      </c>
      <c r="T39" s="321"/>
      <c r="U39" s="321"/>
      <c r="V39" s="322"/>
      <c r="W39" s="321"/>
      <c r="X39" s="321"/>
      <c r="Y39" s="321"/>
    </row>
    <row r="40" spans="1:25">
      <c r="A40" s="219" t="s">
        <v>111</v>
      </c>
      <c r="B40" s="162">
        <v>238</v>
      </c>
      <c r="C40" s="162">
        <v>5</v>
      </c>
      <c r="D40" s="162" t="s">
        <v>17</v>
      </c>
      <c r="E40" s="162" t="s">
        <v>18</v>
      </c>
      <c r="F40" s="219" t="s">
        <v>111</v>
      </c>
      <c r="G40" s="162" t="s">
        <v>112</v>
      </c>
      <c r="H40" s="211" t="s">
        <v>113</v>
      </c>
      <c r="I40" s="269">
        <f t="shared" si="1"/>
        <v>29.460999999999999</v>
      </c>
      <c r="J40" s="269"/>
      <c r="K40" s="269"/>
      <c r="L40" s="269"/>
      <c r="M40" s="269"/>
      <c r="N40" s="269"/>
      <c r="O40" s="220"/>
      <c r="P40" s="312" t="s">
        <v>445</v>
      </c>
      <c r="Q40" s="286" t="str">
        <f t="shared" si="2"/>
        <v>07440C</v>
      </c>
      <c r="R40" s="309" t="str">
        <f t="shared" si="2"/>
        <v>Parking Meter Service Worker</v>
      </c>
      <c r="S40" s="321">
        <f t="shared" si="0"/>
        <v>29.460999999999999</v>
      </c>
      <c r="T40" s="321"/>
      <c r="U40" s="321"/>
      <c r="V40" s="322"/>
      <c r="W40" s="321"/>
      <c r="X40" s="321"/>
      <c r="Y40" s="321"/>
    </row>
    <row r="41" spans="1:25">
      <c r="A41" s="219" t="s">
        <v>114</v>
      </c>
      <c r="B41" s="162">
        <v>215</v>
      </c>
      <c r="C41" s="162">
        <v>4</v>
      </c>
      <c r="D41" s="162" t="s">
        <v>17</v>
      </c>
      <c r="E41" s="162" t="s">
        <v>18</v>
      </c>
      <c r="F41" s="219" t="s">
        <v>114</v>
      </c>
      <c r="G41" s="162" t="s">
        <v>115</v>
      </c>
      <c r="H41" s="211" t="s">
        <v>116</v>
      </c>
      <c r="I41" s="269">
        <f t="shared" si="1"/>
        <v>27.536000000000001</v>
      </c>
      <c r="J41" s="269"/>
      <c r="K41" s="269"/>
      <c r="L41" s="269"/>
      <c r="M41" s="269"/>
      <c r="N41" s="269"/>
      <c r="O41" s="220"/>
      <c r="P41" s="312" t="s">
        <v>445</v>
      </c>
      <c r="Q41" s="286" t="str">
        <f t="shared" si="2"/>
        <v>07940C</v>
      </c>
      <c r="R41" s="309" t="str">
        <f t="shared" si="2"/>
        <v>Plant Service Worker</v>
      </c>
      <c r="S41" s="321">
        <f t="shared" si="0"/>
        <v>27.536000000000001</v>
      </c>
      <c r="T41" s="321"/>
      <c r="U41" s="321"/>
      <c r="V41" s="322"/>
      <c r="W41" s="321"/>
      <c r="X41" s="321"/>
      <c r="Y41" s="321"/>
    </row>
    <row r="42" spans="1:25">
      <c r="A42" s="219" t="s">
        <v>118</v>
      </c>
      <c r="B42" s="162">
        <v>335</v>
      </c>
      <c r="C42" s="162">
        <v>7</v>
      </c>
      <c r="D42" s="162" t="s">
        <v>17</v>
      </c>
      <c r="E42" s="162" t="s">
        <v>18</v>
      </c>
      <c r="F42" s="219" t="s">
        <v>117</v>
      </c>
      <c r="G42" s="162" t="s">
        <v>119</v>
      </c>
      <c r="H42" s="211" t="s">
        <v>120</v>
      </c>
      <c r="I42" s="269">
        <f t="shared" si="1"/>
        <v>27.724</v>
      </c>
      <c r="J42" s="269">
        <f t="shared" si="1"/>
        <v>29.146000000000001</v>
      </c>
      <c r="K42" s="269">
        <f t="shared" si="1"/>
        <v>30.57</v>
      </c>
      <c r="L42" s="269">
        <f t="shared" si="1"/>
        <v>31.989000000000001</v>
      </c>
      <c r="M42" s="269">
        <f t="shared" si="1"/>
        <v>33.411999999999999</v>
      </c>
      <c r="N42" s="269">
        <f t="shared" si="1"/>
        <v>34.838999999999999</v>
      </c>
      <c r="O42" s="220"/>
      <c r="P42" s="312" t="s">
        <v>445</v>
      </c>
      <c r="Q42" s="286" t="str">
        <f t="shared" si="2"/>
        <v>02621C</v>
      </c>
      <c r="R42" s="309" t="str">
        <f t="shared" si="2"/>
        <v>Pubic Works Equipment Dispatcher</v>
      </c>
      <c r="S42" s="321">
        <f t="shared" si="0"/>
        <v>27.724</v>
      </c>
      <c r="T42" s="321">
        <f>ROUND(IF($P42="Y",((VLOOKUP($Q42,Rates2021,4,0)+LIUNA2022)*PercIncr2022)-LIUNA2022,VLOOKUP($Q42,Rates2021,4,0)),3)</f>
        <v>29.146000000000001</v>
      </c>
      <c r="U42" s="321">
        <f>ROUND(IF($P42="Y",((VLOOKUP($Q42,Rates2021,5,0)+LIUNA2022)*PercIncr2022)-LIUNA2022,VLOOKUP($Q42,Rates2021,5,0)),3)</f>
        <v>30.57</v>
      </c>
      <c r="V42" s="321">
        <f>ROUND(IF($P42="Y",((VLOOKUP($Q42,Rates2021,6,0)+LIUNA2022)*PercIncr2022)-LIUNA2022,VLOOKUP($Q42,Rates2021,6,0)),3)</f>
        <v>31.989000000000001</v>
      </c>
      <c r="W42" s="321">
        <f>ROUND(IF($P42="Y",((VLOOKUP($Q42,Rates2021,7,0)+LIUNA2022)*PercIncr2022)-LIUNA2022,VLOOKUP($Q42,Rates2021,7,0)),3)</f>
        <v>33.411999999999999</v>
      </c>
      <c r="X42" s="321">
        <f>ROUND(IF($P42="Y",((VLOOKUP($Q42,Rates2021,8,0)+LIUNA2022)*PercIncr2022)-LIUNA2022,VLOOKUP($Q42,Rates2021,8,0)),3)</f>
        <v>34.838999999999999</v>
      </c>
      <c r="Y42" s="321"/>
    </row>
    <row r="43" spans="1:25">
      <c r="A43" s="219" t="s">
        <v>19</v>
      </c>
      <c r="B43" s="162">
        <v>230</v>
      </c>
      <c r="C43" s="162">
        <v>5</v>
      </c>
      <c r="D43" s="162" t="s">
        <v>17</v>
      </c>
      <c r="E43" s="162" t="s">
        <v>18</v>
      </c>
      <c r="F43" s="219" t="s">
        <v>19</v>
      </c>
      <c r="G43" s="162" t="s">
        <v>121</v>
      </c>
      <c r="H43" s="223" t="s">
        <v>122</v>
      </c>
      <c r="I43" s="269">
        <f t="shared" si="1"/>
        <v>26.847999999999999</v>
      </c>
      <c r="J43" s="269">
        <f t="shared" si="1"/>
        <v>27.693000000000001</v>
      </c>
      <c r="K43" s="269">
        <f t="shared" si="1"/>
        <v>28.564</v>
      </c>
      <c r="L43" s="269">
        <f t="shared" si="1"/>
        <v>29.460999999999999</v>
      </c>
      <c r="M43" s="269"/>
      <c r="N43" s="269"/>
      <c r="O43" s="220"/>
      <c r="P43" s="312" t="s">
        <v>445</v>
      </c>
      <c r="Q43" s="286" t="str">
        <f t="shared" si="2"/>
        <v>08568C</v>
      </c>
      <c r="R43" s="309" t="str">
        <f t="shared" si="2"/>
        <v xml:space="preserve">Public Works Service Worker I </v>
      </c>
      <c r="S43" s="321">
        <f t="shared" si="0"/>
        <v>26.847999999999999</v>
      </c>
      <c r="T43" s="321">
        <f>ROUND(IF($P43="Y",((VLOOKUP($Q43,Rates2021,4,0)+LIUNA2022)*PercIncr2022)-LIUNA2022,VLOOKUP($Q43,Rates2021,4,0)),3)</f>
        <v>27.693000000000001</v>
      </c>
      <c r="U43" s="321">
        <f>ROUND(IF($P43="Y",((VLOOKUP($Q43,Rates2021,5,0)+LIUNA2022)*PercIncr2022)-LIUNA2022,VLOOKUP($Q43,Rates2021,5,0)),3)</f>
        <v>28.564</v>
      </c>
      <c r="V43" s="321">
        <f>ROUND(IF($P43="Y",((VLOOKUP($Q43,Rates2021,6,0)+LIUNA2022)*PercIncr2022)-LIUNA2022,VLOOKUP($Q43,Rates2021,6,0)),3)</f>
        <v>29.460999999999999</v>
      </c>
      <c r="W43" s="321"/>
      <c r="X43" s="321"/>
      <c r="Y43" s="321"/>
    </row>
    <row r="44" spans="1:25">
      <c r="A44" s="219" t="s">
        <v>124</v>
      </c>
      <c r="B44" s="162">
        <v>230</v>
      </c>
      <c r="C44" s="162">
        <v>5</v>
      </c>
      <c r="D44" s="162" t="s">
        <v>17</v>
      </c>
      <c r="E44" s="162" t="s">
        <v>18</v>
      </c>
      <c r="F44" s="219" t="s">
        <v>124</v>
      </c>
      <c r="G44" s="162" t="s">
        <v>126</v>
      </c>
      <c r="H44" s="223" t="s">
        <v>127</v>
      </c>
      <c r="I44" s="221" t="str">
        <f>"6 months = "&amp;TEXT(S44,"$0.000")</f>
        <v>6 months = $17.479</v>
      </c>
      <c r="J44" s="228"/>
      <c r="K44" s="221" t="str">
        <f>"After 6 months AND holds a CDL = "&amp;TEXT(T44,"$0.000")</f>
        <v>After 6 months AND holds a CDL = $18.726</v>
      </c>
      <c r="L44" s="208"/>
      <c r="O44" s="220"/>
      <c r="P44" s="312" t="s">
        <v>445</v>
      </c>
      <c r="Q44" s="286" t="str">
        <f t="shared" si="2"/>
        <v>08564C</v>
      </c>
      <c r="R44" s="309" t="str">
        <f t="shared" si="2"/>
        <v xml:space="preserve">Public Works Service Worker I - Trainee </v>
      </c>
      <c r="S44" s="341">
        <f>ROUND(IF($P44="Y",((VLOOKUP($Q44,Rates2021,3,0))*PercIncr2022),VLOOKUP($Q44,Rates2021,3,0)),3)</f>
        <v>17.478999999999999</v>
      </c>
      <c r="T44" s="341">
        <f>ROUND(IF($P44="Y",((VLOOKUP($Q44,Rates2021,4,0))*PercIncr2022),VLOOKUP($Q44,Rates2021,4,0)),3)</f>
        <v>18.725999999999999</v>
      </c>
      <c r="U44" s="321"/>
      <c r="V44" s="322"/>
      <c r="W44" s="341" t="s">
        <v>446</v>
      </c>
      <c r="X44" s="321"/>
      <c r="Y44" s="321"/>
    </row>
    <row r="45" spans="1:25">
      <c r="A45" s="219" t="s">
        <v>130</v>
      </c>
      <c r="B45" s="162">
        <v>318</v>
      </c>
      <c r="C45" s="162">
        <v>7</v>
      </c>
      <c r="D45" s="162" t="s">
        <v>17</v>
      </c>
      <c r="E45" s="162" t="s">
        <v>18</v>
      </c>
      <c r="F45" s="219" t="s">
        <v>130</v>
      </c>
      <c r="G45" s="229" t="s">
        <v>131</v>
      </c>
      <c r="H45" s="223" t="s">
        <v>382</v>
      </c>
      <c r="I45" s="269">
        <f t="shared" si="1"/>
        <v>34.999000000000002</v>
      </c>
      <c r="J45" s="269">
        <f t="shared" si="1"/>
        <v>35.947000000000003</v>
      </c>
      <c r="K45" s="269">
        <f t="shared" si="1"/>
        <v>37.081000000000003</v>
      </c>
      <c r="L45" s="269"/>
      <c r="M45" s="269"/>
      <c r="N45" s="269"/>
      <c r="O45" s="269"/>
      <c r="P45" s="312" t="s">
        <v>445</v>
      </c>
      <c r="Q45" s="286" t="str">
        <f t="shared" si="2"/>
        <v>09194C</v>
      </c>
      <c r="R45" s="309" t="str">
        <f t="shared" si="2"/>
        <v xml:space="preserve">Senior Water Treatment Operator </v>
      </c>
      <c r="S45" s="321">
        <f t="shared" ref="S45:S50" si="3">ROUND(IF($P45="Y",((VLOOKUP($Q45,Rates2021,3,0)+LIUNA2022)*PercIncr2022)-LIUNA2022,VLOOKUP($Q45,Rates2021,3,0)),3)</f>
        <v>34.999000000000002</v>
      </c>
      <c r="T45" s="321">
        <f>ROUND(IF($P45="Y",((VLOOKUP($Q45,Rates2021,4,0)+LIUNA2022)*PercIncr2022)-LIUNA2022,VLOOKUP($Q45,Rates2021,4,0)),3)</f>
        <v>35.947000000000003</v>
      </c>
      <c r="U45" s="321">
        <f>ROUND(IF($P45="Y",((VLOOKUP($Q45,Rates2021,5,0)+LIUNA2022)*PercIncr2022)-LIUNA2022,VLOOKUP($Q45,Rates2021,5,0)),3)</f>
        <v>37.081000000000003</v>
      </c>
      <c r="V45" s="322"/>
      <c r="W45" s="321"/>
      <c r="X45" s="321"/>
      <c r="Y45" s="321"/>
    </row>
    <row r="46" spans="1:25">
      <c r="A46" s="219" t="s">
        <v>133</v>
      </c>
      <c r="B46" s="162">
        <v>310</v>
      </c>
      <c r="C46" s="162">
        <v>6</v>
      </c>
      <c r="D46" s="162" t="s">
        <v>17</v>
      </c>
      <c r="E46" s="162" t="s">
        <v>18</v>
      </c>
      <c r="F46" s="219" t="s">
        <v>133</v>
      </c>
      <c r="G46" s="162" t="s">
        <v>134</v>
      </c>
      <c r="H46" s="211" t="s">
        <v>135</v>
      </c>
      <c r="I46" s="269">
        <f t="shared" si="1"/>
        <v>27.632000000000001</v>
      </c>
      <c r="J46" s="269">
        <f t="shared" si="1"/>
        <v>28.992000000000001</v>
      </c>
      <c r="K46" s="269">
        <f t="shared" si="1"/>
        <v>30.327999999999999</v>
      </c>
      <c r="L46" s="269">
        <f t="shared" si="1"/>
        <v>31.763999999999999</v>
      </c>
      <c r="M46" s="269"/>
      <c r="N46" s="269"/>
      <c r="O46" s="269"/>
      <c r="P46" s="312" t="s">
        <v>445</v>
      </c>
      <c r="Q46" s="286" t="str">
        <f t="shared" si="2"/>
        <v>09184C</v>
      </c>
      <c r="R46" s="309" t="str">
        <f t="shared" si="2"/>
        <v>Sewer Pumping Station Operator</v>
      </c>
      <c r="S46" s="321">
        <f t="shared" si="3"/>
        <v>27.632000000000001</v>
      </c>
      <c r="T46" s="321">
        <f>ROUND(IF($P46="Y",((VLOOKUP($Q46,Rates2021,4,0)+LIUNA2022)*PercIncr2022)-LIUNA2022,VLOOKUP($Q46,Rates2021,4,0)),3)</f>
        <v>28.992000000000001</v>
      </c>
      <c r="U46" s="321">
        <f>ROUND(IF($P46="Y",((VLOOKUP($Q46,Rates2021,5,0)+LIUNA2022)*PercIncr2022)-LIUNA2022,VLOOKUP($Q46,Rates2021,5,0)),3)</f>
        <v>30.327999999999999</v>
      </c>
      <c r="V46" s="321">
        <f>ROUND(IF($P46="Y",((VLOOKUP($Q46,Rates2021,6,0)+LIUNA2022)*PercIncr2022)-LIUNA2022,VLOOKUP($Q46,Rates2021,6,0)),3)</f>
        <v>31.763999999999999</v>
      </c>
      <c r="W46" s="321"/>
      <c r="X46" s="321"/>
      <c r="Y46" s="321"/>
    </row>
    <row r="47" spans="1:25">
      <c r="A47" s="219" t="s">
        <v>111</v>
      </c>
      <c r="B47" s="162">
        <v>258</v>
      </c>
      <c r="C47" s="162">
        <v>5</v>
      </c>
      <c r="D47" s="162" t="s">
        <v>17</v>
      </c>
      <c r="E47" s="162" t="s">
        <v>18</v>
      </c>
      <c r="F47" s="219">
        <v>16</v>
      </c>
      <c r="G47" s="162" t="s">
        <v>136</v>
      </c>
      <c r="H47" s="211" t="s">
        <v>137</v>
      </c>
      <c r="I47" s="269">
        <f t="shared" si="1"/>
        <v>29.460999999999999</v>
      </c>
      <c r="J47" s="269"/>
      <c r="K47" s="269"/>
      <c r="L47" s="269"/>
      <c r="M47" s="269"/>
      <c r="N47" s="269"/>
      <c r="O47" s="269"/>
      <c r="P47" s="312" t="s">
        <v>445</v>
      </c>
      <c r="Q47" s="286" t="str">
        <f t="shared" si="2"/>
        <v>09220C</v>
      </c>
      <c r="R47" s="309" t="str">
        <f t="shared" si="2"/>
        <v>Shop Repair Worker I</v>
      </c>
      <c r="S47" s="321">
        <f t="shared" si="3"/>
        <v>29.460999999999999</v>
      </c>
      <c r="T47" s="321"/>
      <c r="U47" s="321"/>
      <c r="V47" s="322"/>
      <c r="W47" s="321"/>
      <c r="X47" s="321"/>
      <c r="Y47" s="321"/>
    </row>
    <row r="48" spans="1:25">
      <c r="A48" s="219" t="s">
        <v>308</v>
      </c>
      <c r="B48" s="162">
        <v>295</v>
      </c>
      <c r="C48" s="162">
        <v>6</v>
      </c>
      <c r="D48" s="162" t="s">
        <v>17</v>
      </c>
      <c r="E48" s="162" t="s">
        <v>18</v>
      </c>
      <c r="F48" s="219">
        <v>17</v>
      </c>
      <c r="G48" s="162" t="s">
        <v>138</v>
      </c>
      <c r="H48" s="211" t="s">
        <v>139</v>
      </c>
      <c r="I48" s="269">
        <f t="shared" si="1"/>
        <v>31.248999999999999</v>
      </c>
      <c r="J48" s="269">
        <f t="shared" si="1"/>
        <v>32.06</v>
      </c>
      <c r="K48" s="269">
        <f t="shared" si="1"/>
        <v>32.871000000000002</v>
      </c>
      <c r="L48" s="269"/>
      <c r="M48" s="269"/>
      <c r="N48" s="269"/>
      <c r="O48" s="269"/>
      <c r="P48" s="313" t="s">
        <v>445</v>
      </c>
      <c r="Q48" s="286" t="str">
        <f t="shared" si="2"/>
        <v>09230C</v>
      </c>
      <c r="R48" s="309" t="str">
        <f t="shared" si="2"/>
        <v>Shop Repair Worker II</v>
      </c>
      <c r="S48" s="321">
        <f t="shared" si="3"/>
        <v>31.248999999999999</v>
      </c>
      <c r="T48" s="321">
        <f>ROUND(IF($P48="Y",((VLOOKUP($Q48,Rates2021,4,0)+LIUNA2022)*PercIncr2022)-LIUNA2022,VLOOKUP($Q48,Rates2021,4,0)),3)</f>
        <v>32.06</v>
      </c>
      <c r="U48" s="321">
        <f>ROUND(IF($P48="Y",((VLOOKUP($Q48,Rates2021,5,0)+LIUNA2022)*PercIncr2022)-LIUNA2022,VLOOKUP($Q48,Rates2021,5,0)),3)</f>
        <v>32.871000000000002</v>
      </c>
      <c r="V48" s="321"/>
      <c r="W48" s="321"/>
      <c r="X48" s="321"/>
      <c r="Y48" s="321"/>
    </row>
    <row r="49" spans="1:26">
      <c r="A49" s="219">
        <v>8</v>
      </c>
      <c r="B49" s="162">
        <v>260</v>
      </c>
      <c r="C49" s="162">
        <v>5</v>
      </c>
      <c r="D49" s="162" t="s">
        <v>17</v>
      </c>
      <c r="E49" s="162" t="s">
        <v>18</v>
      </c>
      <c r="F49" s="219">
        <v>8</v>
      </c>
      <c r="G49" s="162" t="s">
        <v>140</v>
      </c>
      <c r="H49" s="211" t="s">
        <v>141</v>
      </c>
      <c r="I49" s="269">
        <f t="shared" si="1"/>
        <v>20.952000000000002</v>
      </c>
      <c r="J49" s="269">
        <f t="shared" si="1"/>
        <v>22.228000000000002</v>
      </c>
      <c r="K49" s="269">
        <f t="shared" si="1"/>
        <v>24.427</v>
      </c>
      <c r="L49" s="269">
        <f t="shared" si="1"/>
        <v>25.376999999999999</v>
      </c>
      <c r="M49" s="269">
        <f t="shared" si="1"/>
        <v>27.291</v>
      </c>
      <c r="N49" s="269">
        <f t="shared" si="1"/>
        <v>28.431999999999999</v>
      </c>
      <c r="O49" s="269">
        <f t="shared" si="1"/>
        <v>29.460999999999999</v>
      </c>
      <c r="P49" s="312" t="s">
        <v>445</v>
      </c>
      <c r="Q49" s="286" t="str">
        <f t="shared" si="2"/>
        <v>09400C</v>
      </c>
      <c r="R49" s="309" t="str">
        <f t="shared" si="2"/>
        <v>Stock Worker</v>
      </c>
      <c r="S49" s="321">
        <f t="shared" si="3"/>
        <v>20.952000000000002</v>
      </c>
      <c r="T49" s="321">
        <f>ROUND(IF($P49="Y",((VLOOKUP($Q49,Rates2021,4,0)+LIUNA2022)*PercIncr2022)-LIUNA2022,VLOOKUP($Q49,Rates2021,4,0)),3)</f>
        <v>22.228000000000002</v>
      </c>
      <c r="U49" s="321">
        <f>ROUND(IF($P49="Y",((VLOOKUP($Q49,Rates2021,5,0)+LIUNA2022)*PercIncr2022)-LIUNA2022,VLOOKUP($Q49,Rates2021,5,0)),3)</f>
        <v>24.427</v>
      </c>
      <c r="V49" s="321">
        <f>ROUND(IF($P49="Y",((VLOOKUP($Q49,Rates2021,6,0)+LIUNA2022)*PercIncr2022)-LIUNA2022,VLOOKUP($Q49,Rates2021,6,0)),3)</f>
        <v>25.376999999999999</v>
      </c>
      <c r="W49" s="321">
        <f>ROUND(IF($P49="Y",((VLOOKUP($Q49,Rates2021,7,0)+LIUNA2022)*PercIncr2022)-LIUNA2022,VLOOKUP($Q49,Rates2021,7,0)),3)</f>
        <v>27.291</v>
      </c>
      <c r="X49" s="321">
        <f>ROUND(IF($P49="Y",((VLOOKUP($Q49,Rates2021,8,0)+LIUNA2022)*PercIncr2022)-LIUNA2022,VLOOKUP($Q49,Rates2021,8,0)),3)</f>
        <v>28.431999999999999</v>
      </c>
      <c r="Y49" s="321">
        <f>ROUND(IF($P49="Y",((VLOOKUP($Q49,Rates2021,9,0)+LIUNA2022)*PercIncr2022)-LIUNA2022,VLOOKUP($Q49,Rates2021,9,0)),3)</f>
        <v>29.460999999999999</v>
      </c>
      <c r="Z49" s="230"/>
    </row>
    <row r="50" spans="1:26">
      <c r="A50" s="219" t="s">
        <v>118</v>
      </c>
      <c r="B50" s="162">
        <v>333</v>
      </c>
      <c r="C50" s="162">
        <v>7</v>
      </c>
      <c r="D50" s="162" t="s">
        <v>17</v>
      </c>
      <c r="E50" s="162" t="s">
        <v>18</v>
      </c>
      <c r="F50" s="219" t="s">
        <v>117</v>
      </c>
      <c r="G50" s="162" t="s">
        <v>142</v>
      </c>
      <c r="H50" s="211" t="s">
        <v>143</v>
      </c>
      <c r="I50" s="269">
        <f t="shared" si="1"/>
        <v>27.724</v>
      </c>
      <c r="J50" s="269">
        <f t="shared" si="1"/>
        <v>29.146000000000001</v>
      </c>
      <c r="K50" s="269">
        <f t="shared" si="1"/>
        <v>30.57</v>
      </c>
      <c r="L50" s="269">
        <f t="shared" si="1"/>
        <v>31.989000000000001</v>
      </c>
      <c r="M50" s="269">
        <f t="shared" si="1"/>
        <v>33.411999999999999</v>
      </c>
      <c r="N50" s="269">
        <f t="shared" si="1"/>
        <v>34.838999999999999</v>
      </c>
      <c r="O50" s="269"/>
      <c r="P50" s="312" t="s">
        <v>445</v>
      </c>
      <c r="Q50" s="286" t="str">
        <f t="shared" si="2"/>
        <v>09284C</v>
      </c>
      <c r="R50" s="309" t="str">
        <f t="shared" si="2"/>
        <v xml:space="preserve">Stores Center Coordinator   </v>
      </c>
      <c r="S50" s="321">
        <f t="shared" si="3"/>
        <v>27.724</v>
      </c>
      <c r="T50" s="321">
        <f>ROUND(IF($P50="Y",((VLOOKUP($Q50,Rates2021,4,0)+LIUNA2022)*PercIncr2022)-LIUNA2022,VLOOKUP($Q50,Rates2021,4,0)),3)</f>
        <v>29.146000000000001</v>
      </c>
      <c r="U50" s="321">
        <f>ROUND(IF($P50="Y",((VLOOKUP($Q50,Rates2021,5,0)+LIUNA2022)*PercIncr2022)-LIUNA2022,VLOOKUP($Q50,Rates2021,5,0)),3)</f>
        <v>30.57</v>
      </c>
      <c r="V50" s="321">
        <f>ROUND(IF($P50="Y",((VLOOKUP($Q50,Rates2021,6,0)+LIUNA2022)*PercIncr2022)-LIUNA2022,VLOOKUP($Q50,Rates2021,6,0)),3)</f>
        <v>31.989000000000001</v>
      </c>
      <c r="W50" s="321">
        <f>ROUND(IF($P50="Y",((VLOOKUP($Q50,Rates2021,7,0)+LIUNA2022)*PercIncr2022)-LIUNA2022,VLOOKUP($Q50,Rates2021,7,0)),3)</f>
        <v>33.411999999999999</v>
      </c>
      <c r="X50" s="321">
        <f>ROUND(IF($P50="Y",((VLOOKUP($Q50,Rates2021,8,0)+LIUNA2022)*PercIncr2022)-LIUNA2022,VLOOKUP($Q50,Rates2021,8,0)),3)</f>
        <v>34.838999999999999</v>
      </c>
      <c r="Y50" s="321"/>
    </row>
    <row r="51" spans="1:26">
      <c r="A51" s="219" t="s">
        <v>383</v>
      </c>
      <c r="B51" s="162"/>
      <c r="C51" s="162"/>
      <c r="D51" s="162" t="s">
        <v>17</v>
      </c>
      <c r="E51" s="162" t="s">
        <v>18</v>
      </c>
      <c r="F51" s="219" t="s">
        <v>383</v>
      </c>
      <c r="G51" s="162" t="s">
        <v>384</v>
      </c>
      <c r="H51" s="211" t="s">
        <v>468</v>
      </c>
      <c r="I51" s="269">
        <f>S51</f>
        <v>37.127000000000002</v>
      </c>
      <c r="J51" s="269"/>
      <c r="K51" s="269"/>
      <c r="L51" s="269"/>
      <c r="M51" s="269"/>
      <c r="N51" s="269"/>
      <c r="O51" s="269"/>
      <c r="P51" s="312" t="s">
        <v>445</v>
      </c>
      <c r="Q51" s="286" t="str">
        <f t="shared" si="2"/>
        <v>52931C</v>
      </c>
      <c r="R51" s="309" t="str">
        <f t="shared" si="2"/>
        <v>Union Leader (Park Keeper  Crew Leader)</v>
      </c>
      <c r="S51" s="345">
        <v>37.127000000000002</v>
      </c>
      <c r="T51" s="321"/>
      <c r="U51" s="321"/>
      <c r="V51" s="321"/>
      <c r="W51" s="321"/>
      <c r="X51" s="321"/>
      <c r="Y51" s="321"/>
    </row>
    <row r="52" spans="1:26">
      <c r="A52" s="219">
        <v>22</v>
      </c>
      <c r="B52" s="162">
        <v>265</v>
      </c>
      <c r="C52" s="162">
        <v>5</v>
      </c>
      <c r="D52" s="162" t="s">
        <v>17</v>
      </c>
      <c r="E52" s="162" t="s">
        <v>18</v>
      </c>
      <c r="F52" s="219">
        <v>22</v>
      </c>
      <c r="G52" s="162" t="s">
        <v>144</v>
      </c>
      <c r="H52" s="211" t="s">
        <v>145</v>
      </c>
      <c r="I52" s="269">
        <f t="shared" si="1"/>
        <v>31.641999999999999</v>
      </c>
      <c r="J52" s="269">
        <f t="shared" si="1"/>
        <v>32.274999999999999</v>
      </c>
      <c r="K52" s="269">
        <f t="shared" si="1"/>
        <v>32.905999999999999</v>
      </c>
      <c r="L52" s="269">
        <f t="shared" si="1"/>
        <v>33.537999999999997</v>
      </c>
      <c r="M52" s="269"/>
      <c r="N52" s="269"/>
      <c r="O52" s="269"/>
      <c r="P52" s="312" t="s">
        <v>445</v>
      </c>
      <c r="Q52" s="286" t="str">
        <f t="shared" si="2"/>
        <v>10908C</v>
      </c>
      <c r="R52" s="309" t="str">
        <f t="shared" si="2"/>
        <v>Water Treatment Operator* (see below for Step)</v>
      </c>
      <c r="S52" s="321">
        <f>ROUND(IF($P52="Y",((VLOOKUP($Q52,Rates2021,3,0)+LIUNA2022)*PercIncr2022)-LIUNA2022,VLOOKUP($Q52,Rates2021,3,0)),3)</f>
        <v>31.641999999999999</v>
      </c>
      <c r="T52" s="321">
        <f>ROUND(IF($P52="Y",((VLOOKUP($Q52,Rates2021,4,0)+LIUNA2022)*PercIncr2022)-LIUNA2022,VLOOKUP($Q52,Rates2021,4,0)),3)</f>
        <v>32.274999999999999</v>
      </c>
      <c r="U52" s="321">
        <f>ROUND(IF($P52="Y",((VLOOKUP($Q52,Rates2021,5,0)+LIUNA2022)*PercIncr2022)-LIUNA2022,VLOOKUP($Q52,Rates2021,5,0)),3)</f>
        <v>32.905999999999999</v>
      </c>
      <c r="V52" s="321">
        <f>ROUND(IF($P52="Y",((VLOOKUP($Q52,Rates2021,6,0)+LIUNA2022)*PercIncr2022)-LIUNA2022,VLOOKUP($Q52,Rates2021,6,0)),3)</f>
        <v>33.537999999999997</v>
      </c>
      <c r="W52" s="321"/>
      <c r="X52" s="321"/>
      <c r="Y52" s="321"/>
    </row>
    <row r="53" spans="1:26">
      <c r="A53" s="219" t="s">
        <v>65</v>
      </c>
      <c r="B53" s="162">
        <v>253</v>
      </c>
      <c r="C53" s="162">
        <v>5</v>
      </c>
      <c r="D53" s="162" t="s">
        <v>17</v>
      </c>
      <c r="E53" s="162" t="s">
        <v>18</v>
      </c>
      <c r="F53" s="219" t="s">
        <v>65</v>
      </c>
      <c r="G53" s="162" t="s">
        <v>146</v>
      </c>
      <c r="H53" s="211" t="s">
        <v>147</v>
      </c>
      <c r="I53" s="269">
        <f t="shared" ref="I53:L54" si="4">S53</f>
        <v>26.221</v>
      </c>
      <c r="J53" s="269">
        <f t="shared" si="4"/>
        <v>27.100999999999999</v>
      </c>
      <c r="K53" s="269">
        <f t="shared" si="4"/>
        <v>28.013000000000002</v>
      </c>
      <c r="L53" s="269">
        <f t="shared" si="4"/>
        <v>29.137</v>
      </c>
      <c r="M53" s="269"/>
      <c r="N53" s="269"/>
      <c r="O53" s="269"/>
      <c r="P53" s="312" t="s">
        <v>445</v>
      </c>
      <c r="Q53" s="286" t="str">
        <f t="shared" si="2"/>
        <v>11030C</v>
      </c>
      <c r="R53" s="309" t="str">
        <f t="shared" si="2"/>
        <v>Yard Coordinator I</v>
      </c>
      <c r="S53" s="321">
        <f>ROUND(IF($P53="Y",((VLOOKUP($Q53,Rates2021,3,0)+LIUNA2022)*PercIncr2022)-LIUNA2022,VLOOKUP($Q53,Rates2021,3,0)),3)</f>
        <v>26.221</v>
      </c>
      <c r="T53" s="321">
        <f>ROUND(IF($P53="Y",((VLOOKUP($Q53,Rates2021,4,0)+LIUNA2022)*PercIncr2022)-LIUNA2022,VLOOKUP($Q53,Rates2021,4,0)),3)</f>
        <v>27.100999999999999</v>
      </c>
      <c r="U53" s="321">
        <f>ROUND(IF($P53="Y",((VLOOKUP($Q53,Rates2021,5,0)+LIUNA2022)*PercIncr2022)-LIUNA2022,VLOOKUP($Q53,Rates2021,5,0)),3)</f>
        <v>28.013000000000002</v>
      </c>
      <c r="V53" s="321">
        <f>ROUND(IF($P53="Y",((VLOOKUP($Q53,Rates2021,6,0)+LIUNA2022)*PercIncr2022)-LIUNA2022,VLOOKUP($Q53,Rates2021,6,0)),3)</f>
        <v>29.137</v>
      </c>
      <c r="W53" s="321"/>
      <c r="X53" s="321"/>
      <c r="Y53" s="321"/>
    </row>
    <row r="54" spans="1:26">
      <c r="A54" s="219">
        <v>13</v>
      </c>
      <c r="B54" s="162">
        <v>275</v>
      </c>
      <c r="C54" s="162">
        <v>6</v>
      </c>
      <c r="D54" s="162" t="s">
        <v>17</v>
      </c>
      <c r="E54" s="162" t="s">
        <v>18</v>
      </c>
      <c r="F54" s="219">
        <v>13</v>
      </c>
      <c r="G54" s="162" t="s">
        <v>148</v>
      </c>
      <c r="H54" s="211" t="s">
        <v>149</v>
      </c>
      <c r="I54" s="269">
        <f t="shared" si="4"/>
        <v>27.632000000000001</v>
      </c>
      <c r="J54" s="269">
        <f t="shared" si="4"/>
        <v>28.992000000000001</v>
      </c>
      <c r="K54" s="269">
        <f t="shared" si="4"/>
        <v>30.327999999999999</v>
      </c>
      <c r="L54" s="269">
        <f t="shared" si="4"/>
        <v>31.763999999999999</v>
      </c>
      <c r="M54" s="269"/>
      <c r="N54" s="269"/>
      <c r="O54" s="269"/>
      <c r="P54" s="312" t="s">
        <v>445</v>
      </c>
      <c r="Q54" s="286" t="str">
        <f t="shared" si="2"/>
        <v>11040C</v>
      </c>
      <c r="R54" s="309" t="str">
        <f t="shared" si="2"/>
        <v>Yard Coordinator II</v>
      </c>
      <c r="S54" s="321">
        <f>ROUND(IF($P54="Y",((VLOOKUP($Q54,Rates2021,3,0)+LIUNA2022)*PercIncr2022)-LIUNA2022,VLOOKUP($Q54,Rates2021,3,0)),3)</f>
        <v>27.632000000000001</v>
      </c>
      <c r="T54" s="321">
        <f>ROUND(IF($P54="Y",((VLOOKUP($Q54,Rates2021,4,0)+LIUNA2022)*PercIncr2022)-LIUNA2022,VLOOKUP($Q54,Rates2021,4,0)),3)</f>
        <v>28.992000000000001</v>
      </c>
      <c r="U54" s="321">
        <f>ROUND(IF($P54="Y",((VLOOKUP($Q54,Rates2021,5,0)+LIUNA2022)*PercIncr2022)-LIUNA2022,VLOOKUP($Q54,Rates2021,5,0)),3)</f>
        <v>30.327999999999999</v>
      </c>
      <c r="V54" s="321">
        <f>ROUND(IF($P54="Y",((VLOOKUP($Q54,Rates2021,6,0)+LIUNA2022)*PercIncr2022)-LIUNA2022,VLOOKUP($Q54,Rates2021,6,0)),3)</f>
        <v>31.763999999999999</v>
      </c>
      <c r="W54" s="321"/>
      <c r="X54" s="321"/>
      <c r="Y54" s="321"/>
    </row>
    <row r="55" spans="1:26">
      <c r="A55" s="219"/>
      <c r="C55" s="162"/>
      <c r="D55" s="231" t="s">
        <v>386</v>
      </c>
      <c r="E55" s="208"/>
      <c r="F55" s="219"/>
      <c r="G55" s="219"/>
      <c r="I55" s="218"/>
      <c r="J55" s="220"/>
      <c r="K55" s="220"/>
      <c r="L55" s="220"/>
      <c r="Q55" s="286"/>
      <c r="R55" s="309"/>
      <c r="S55" s="321"/>
      <c r="T55" s="321"/>
      <c r="U55" s="321"/>
      <c r="V55" s="321"/>
      <c r="W55" s="321"/>
      <c r="X55" s="321"/>
      <c r="Y55" s="321"/>
    </row>
    <row r="56" spans="1:26">
      <c r="D56" s="165" t="str">
        <f>"NOTE that in addition to the above hourly wages, a LIUNA pension fund contribution of " &amp; TEXT(LIUNA2020,"$#.###")&amp;" per hour is contributed on behalf of eligible employees."</f>
        <v>NOTE that in addition to the above hourly wages, a LIUNA pension fund contribution of $1.74 per hour is contributed on behalf of eligible employees.</v>
      </c>
      <c r="E56" s="165"/>
      <c r="I56" s="233"/>
      <c r="J56" s="162"/>
      <c r="K56" s="162"/>
      <c r="L56" s="162"/>
      <c r="M56" s="162"/>
      <c r="N56" s="162"/>
      <c r="P56" s="286" t="s">
        <v>445</v>
      </c>
      <c r="Q56" s="280" t="s">
        <v>469</v>
      </c>
      <c r="R56" s="308" t="s">
        <v>470</v>
      </c>
      <c r="S56" s="321">
        <v>1.74</v>
      </c>
      <c r="T56" s="321"/>
      <c r="U56" s="321"/>
      <c r="V56" s="321"/>
      <c r="W56" s="321"/>
      <c r="X56" s="321"/>
      <c r="Y56" s="321"/>
    </row>
    <row r="57" spans="1:26">
      <c r="D57" s="165"/>
      <c r="E57" s="165"/>
      <c r="I57" s="233"/>
      <c r="J57" s="162"/>
      <c r="K57" s="162"/>
      <c r="L57" s="162"/>
      <c r="M57" s="162"/>
      <c r="N57" s="162"/>
      <c r="S57" s="321"/>
      <c r="T57" s="321"/>
      <c r="U57" s="321"/>
      <c r="V57" s="321"/>
      <c r="W57" s="321"/>
      <c r="X57" s="321"/>
      <c r="Y57" s="321"/>
    </row>
    <row r="58" spans="1:26">
      <c r="A58" s="268"/>
      <c r="D58" s="268"/>
      <c r="E58" s="268"/>
      <c r="F58" s="268"/>
      <c r="G58" s="268"/>
      <c r="H58" s="268"/>
      <c r="I58" s="268"/>
      <c r="J58" s="268"/>
      <c r="K58" s="268"/>
      <c r="L58" s="268"/>
      <c r="M58" s="268"/>
      <c r="N58" s="268"/>
      <c r="O58" s="268"/>
      <c r="S58" s="321"/>
      <c r="T58" s="321"/>
      <c r="U58" s="321"/>
      <c r="V58" s="321"/>
      <c r="W58" s="321"/>
      <c r="X58" s="321"/>
      <c r="Y58" s="321"/>
    </row>
    <row r="59" spans="1:26">
      <c r="A59" s="650"/>
      <c r="D59" s="650"/>
      <c r="E59" s="650"/>
      <c r="F59" s="650"/>
      <c r="G59" s="650"/>
      <c r="H59" s="650"/>
      <c r="I59" s="650"/>
      <c r="J59" s="650"/>
      <c r="K59" s="650"/>
      <c r="L59" s="650"/>
      <c r="M59" s="650"/>
      <c r="N59" s="650"/>
      <c r="O59" s="650"/>
      <c r="S59" s="321"/>
      <c r="T59" s="321"/>
      <c r="U59" s="321"/>
      <c r="V59" s="321"/>
      <c r="W59" s="321"/>
      <c r="X59" s="321"/>
      <c r="Y59" s="321"/>
    </row>
    <row r="60" spans="1:26">
      <c r="D60" s="234" t="s">
        <v>344</v>
      </c>
      <c r="E60" s="234"/>
      <c r="I60" s="233"/>
      <c r="J60" s="162"/>
      <c r="K60" s="162"/>
      <c r="L60" s="162"/>
      <c r="M60" s="162"/>
      <c r="N60" s="162"/>
      <c r="R60" s="310"/>
      <c r="S60" s="321"/>
      <c r="T60" s="321"/>
      <c r="U60" s="321"/>
      <c r="V60" s="321"/>
      <c r="W60" s="321"/>
      <c r="X60" s="321"/>
      <c r="Y60" s="321"/>
    </row>
    <row r="61" spans="1:26">
      <c r="D61" s="234"/>
      <c r="E61" s="234"/>
      <c r="G61" s="162" t="s">
        <v>154</v>
      </c>
      <c r="H61" s="211" t="s">
        <v>457</v>
      </c>
      <c r="I61" s="233"/>
      <c r="J61" s="162"/>
      <c r="K61" s="162"/>
      <c r="L61" s="162"/>
      <c r="M61" s="162"/>
      <c r="N61" s="162"/>
      <c r="R61" s="310"/>
      <c r="S61" s="321"/>
      <c r="T61" s="321"/>
      <c r="U61" s="321"/>
      <c r="V61" s="321"/>
      <c r="W61" s="321"/>
      <c r="X61" s="321"/>
      <c r="Y61" s="321"/>
    </row>
    <row r="62" spans="1:26">
      <c r="D62" s="234"/>
      <c r="E62" s="234"/>
      <c r="G62" s="162" t="s">
        <v>156</v>
      </c>
      <c r="H62" s="211" t="s">
        <v>458</v>
      </c>
      <c r="I62" s="233"/>
      <c r="J62" s="162"/>
      <c r="K62" s="162"/>
      <c r="L62" s="162"/>
      <c r="M62" s="162"/>
      <c r="N62" s="162"/>
      <c r="R62" s="310"/>
      <c r="S62" s="321"/>
      <c r="T62" s="321"/>
      <c r="U62" s="321"/>
      <c r="V62" s="321"/>
      <c r="W62" s="321"/>
      <c r="X62" s="321"/>
      <c r="Y62" s="321"/>
    </row>
    <row r="63" spans="1:26">
      <c r="D63" s="234"/>
      <c r="E63" s="234"/>
      <c r="G63" s="162" t="s">
        <v>158</v>
      </c>
      <c r="H63" s="211" t="s">
        <v>459</v>
      </c>
      <c r="I63" s="233"/>
      <c r="J63" s="162"/>
      <c r="K63" s="162"/>
      <c r="L63" s="162"/>
      <c r="M63" s="162"/>
      <c r="N63" s="162"/>
      <c r="R63" s="310"/>
      <c r="S63" s="321"/>
      <c r="T63" s="321"/>
      <c r="U63" s="321"/>
      <c r="V63" s="321"/>
      <c r="W63" s="321"/>
      <c r="X63" s="321"/>
      <c r="Y63" s="321"/>
    </row>
    <row r="64" spans="1:26">
      <c r="D64" s="165"/>
      <c r="E64" s="165"/>
      <c r="I64" s="233"/>
      <c r="J64" s="162"/>
      <c r="K64" s="162"/>
      <c r="L64" s="162"/>
      <c r="M64" s="162"/>
      <c r="N64" s="162"/>
      <c r="S64" s="321"/>
      <c r="T64" s="321"/>
      <c r="U64" s="321"/>
      <c r="V64" s="321"/>
      <c r="W64" s="321"/>
      <c r="X64" s="321"/>
      <c r="Y64" s="321"/>
    </row>
    <row r="65" spans="1:30">
      <c r="D65" s="234" t="s">
        <v>345</v>
      </c>
      <c r="E65" s="234"/>
      <c r="I65" s="233"/>
      <c r="J65" s="162"/>
      <c r="K65" s="162"/>
      <c r="L65" s="162"/>
      <c r="M65" s="162"/>
      <c r="N65" s="162"/>
      <c r="Q65" s="278"/>
      <c r="R65" s="310"/>
      <c r="S65" s="321"/>
      <c r="T65" s="321"/>
      <c r="U65" s="321"/>
      <c r="V65" s="321"/>
      <c r="W65" s="321"/>
      <c r="X65" s="321"/>
      <c r="Y65" s="321"/>
    </row>
    <row r="66" spans="1:30">
      <c r="D66" s="163"/>
      <c r="E66" s="163"/>
      <c r="F66" s="159" t="s">
        <v>163</v>
      </c>
      <c r="G66" s="162" t="s">
        <v>154</v>
      </c>
      <c r="H66" s="211" t="s">
        <v>164</v>
      </c>
      <c r="I66" s="208"/>
      <c r="J66" s="162"/>
      <c r="K66" s="162"/>
      <c r="L66" s="162"/>
      <c r="M66" s="162"/>
      <c r="N66" s="162"/>
      <c r="Q66" s="278"/>
      <c r="R66" s="310"/>
      <c r="S66" s="321"/>
      <c r="T66" s="321"/>
      <c r="U66" s="321"/>
      <c r="V66" s="321"/>
      <c r="W66" s="321"/>
      <c r="X66" s="321"/>
      <c r="Y66" s="321"/>
    </row>
    <row r="67" spans="1:30">
      <c r="D67" s="163"/>
      <c r="E67" s="163"/>
      <c r="F67" s="159" t="s">
        <v>165</v>
      </c>
      <c r="G67" s="162" t="s">
        <v>156</v>
      </c>
      <c r="H67" s="211" t="s">
        <v>166</v>
      </c>
      <c r="I67" s="208"/>
      <c r="J67" s="162"/>
      <c r="K67" s="162"/>
      <c r="L67" s="162"/>
      <c r="M67" s="162"/>
      <c r="N67" s="162"/>
      <c r="Q67" s="278"/>
      <c r="R67" s="310"/>
      <c r="S67" s="321"/>
      <c r="T67" s="321"/>
      <c r="U67" s="321"/>
      <c r="V67" s="321"/>
      <c r="W67" s="321"/>
      <c r="X67" s="321"/>
      <c r="Y67" s="321"/>
    </row>
    <row r="68" spans="1:30">
      <c r="D68" s="163"/>
      <c r="E68" s="163"/>
      <c r="F68" s="159" t="s">
        <v>167</v>
      </c>
      <c r="G68" s="162" t="s">
        <v>158</v>
      </c>
      <c r="H68" s="211" t="s">
        <v>168</v>
      </c>
      <c r="I68" s="208"/>
      <c r="J68" s="162"/>
      <c r="K68" s="162"/>
      <c r="L68" s="162"/>
      <c r="M68" s="162"/>
      <c r="N68" s="162"/>
      <c r="O68" s="162"/>
      <c r="Q68" s="278"/>
      <c r="R68" s="310"/>
      <c r="S68" s="321"/>
      <c r="T68" s="321"/>
      <c r="U68" s="321"/>
      <c r="V68" s="321"/>
      <c r="W68" s="321"/>
      <c r="X68" s="321"/>
      <c r="Y68" s="321"/>
    </row>
    <row r="69" spans="1:30">
      <c r="D69" s="163"/>
      <c r="E69" s="163"/>
      <c r="F69" s="159" t="s">
        <v>169</v>
      </c>
      <c r="G69" s="162" t="s">
        <v>170</v>
      </c>
      <c r="H69" s="211" t="s">
        <v>171</v>
      </c>
      <c r="I69" s="208"/>
      <c r="J69" s="162"/>
      <c r="K69" s="162"/>
      <c r="L69" s="162"/>
      <c r="M69" s="162"/>
      <c r="N69" s="162"/>
      <c r="Q69" s="278"/>
      <c r="R69" s="310"/>
      <c r="S69" s="321"/>
      <c r="T69" s="321"/>
      <c r="U69" s="321"/>
      <c r="V69" s="321"/>
      <c r="W69" s="321"/>
      <c r="X69" s="321"/>
      <c r="Y69" s="321"/>
    </row>
    <row r="70" spans="1:30">
      <c r="D70" s="163"/>
      <c r="E70" s="163"/>
      <c r="G70" s="162"/>
      <c r="I70" s="208"/>
      <c r="J70" s="162"/>
      <c r="K70" s="162"/>
      <c r="L70" s="162"/>
      <c r="M70" s="162"/>
      <c r="N70" s="162"/>
      <c r="Q70" s="278"/>
      <c r="R70" s="310"/>
      <c r="S70" s="321"/>
      <c r="T70" s="321"/>
      <c r="U70" s="321"/>
      <c r="V70" s="321"/>
      <c r="W70" s="321"/>
      <c r="X70" s="321"/>
      <c r="Y70" s="321"/>
    </row>
    <row r="71" spans="1:30">
      <c r="A71" s="83"/>
      <c r="D71" s="235" t="s">
        <v>346</v>
      </c>
      <c r="E71" s="163"/>
      <c r="F71" s="83"/>
      <c r="G71" s="83"/>
      <c r="I71" s="233"/>
      <c r="J71" s="162"/>
      <c r="K71" s="162"/>
      <c r="L71" s="162"/>
      <c r="M71" s="162"/>
      <c r="N71" s="162"/>
      <c r="S71" s="321"/>
      <c r="T71" s="321"/>
      <c r="U71" s="321"/>
      <c r="V71" s="321"/>
      <c r="W71" s="321"/>
      <c r="X71" s="321"/>
      <c r="Y71" s="321"/>
    </row>
    <row r="72" spans="1:30" s="159" customFormat="1">
      <c r="D72" s="317" t="s">
        <v>447</v>
      </c>
      <c r="E72" s="210"/>
      <c r="F72" s="159" t="s">
        <v>174</v>
      </c>
      <c r="H72" s="163" t="str">
        <f>"Plant Service Workers who hold a Class 'D' Water Supply Certificate shall receive an additional "&amp;TEXT(S72,"$0.000")&amp;" per hour for all hours paid."</f>
        <v>Plant Service Workers who hold a Class 'D' Water Supply Certificate shall receive an additional $0.272 per hour for all hours paid.</v>
      </c>
      <c r="I72" s="233"/>
      <c r="J72" s="162"/>
      <c r="K72" s="162"/>
      <c r="L72" s="162"/>
      <c r="M72" s="162"/>
      <c r="N72" s="162"/>
      <c r="P72" s="286" t="s">
        <v>445</v>
      </c>
      <c r="Q72" s="279" t="s">
        <v>389</v>
      </c>
      <c r="R72" s="279" t="s">
        <v>390</v>
      </c>
      <c r="S72" s="321">
        <f>IF(P72="Y",VLOOKUP(Q72,Rates2021,3,0)*PercIncr2022,VLOOKUP(Q72,Rates2021,3,0))</f>
        <v>0.27246179302343743</v>
      </c>
      <c r="T72" s="321"/>
      <c r="U72" s="321"/>
      <c r="V72" s="321"/>
      <c r="W72" s="321"/>
      <c r="X72" s="321"/>
      <c r="Y72" s="321"/>
      <c r="Z72" s="208"/>
      <c r="AA72" s="208"/>
      <c r="AB72" s="208"/>
      <c r="AC72" s="208"/>
      <c r="AD72" s="208"/>
    </row>
    <row r="73" spans="1:30" s="159" customFormat="1">
      <c r="D73" s="210"/>
      <c r="E73" s="210"/>
      <c r="H73" s="211"/>
      <c r="I73" s="233"/>
      <c r="J73" s="162"/>
      <c r="K73" s="162"/>
      <c r="L73" s="162"/>
      <c r="M73" s="162"/>
      <c r="N73" s="162"/>
      <c r="P73" s="286"/>
      <c r="Q73" s="279"/>
      <c r="R73" s="279"/>
      <c r="S73" s="284"/>
      <c r="T73" s="284"/>
      <c r="U73" s="321"/>
      <c r="V73" s="321"/>
      <c r="W73" s="321"/>
      <c r="X73" s="321"/>
      <c r="Y73" s="321"/>
      <c r="Z73" s="208"/>
      <c r="AA73" s="208"/>
      <c r="AB73" s="208"/>
      <c r="AC73" s="208"/>
      <c r="AD73" s="208"/>
    </row>
    <row r="74" spans="1:30" s="159" customFormat="1">
      <c r="D74" s="163" t="s">
        <v>348</v>
      </c>
      <c r="E74" s="314"/>
      <c r="F74" s="315"/>
      <c r="G74" s="315"/>
      <c r="H74" s="316"/>
      <c r="I74" s="233"/>
      <c r="J74" s="162"/>
      <c r="K74" s="162"/>
      <c r="L74" s="162"/>
      <c r="M74" s="162"/>
      <c r="N74" s="162"/>
      <c r="P74" s="286"/>
      <c r="Q74" s="279"/>
      <c r="R74" s="279"/>
      <c r="S74" s="284"/>
      <c r="T74" s="284"/>
      <c r="U74" s="321"/>
      <c r="V74" s="321"/>
      <c r="W74" s="321"/>
      <c r="X74" s="321"/>
      <c r="Y74" s="321"/>
      <c r="Z74" s="208"/>
      <c r="AA74" s="208"/>
      <c r="AB74" s="208"/>
      <c r="AC74" s="208"/>
      <c r="AD74" s="208"/>
    </row>
    <row r="75" spans="1:30" s="159" customFormat="1">
      <c r="D75" s="163" t="s">
        <v>176</v>
      </c>
      <c r="E75" s="163"/>
      <c r="H75" s="211"/>
      <c r="I75" s="233"/>
      <c r="J75" s="162"/>
      <c r="K75" s="162"/>
      <c r="L75" s="162"/>
      <c r="M75" s="162"/>
      <c r="N75" s="162"/>
      <c r="P75" s="286"/>
      <c r="Q75" s="279"/>
      <c r="R75" s="279"/>
      <c r="S75" s="284"/>
      <c r="T75" s="284"/>
      <c r="U75" s="321"/>
      <c r="V75" s="321"/>
      <c r="W75" s="321"/>
      <c r="X75" s="321"/>
      <c r="Y75" s="321"/>
      <c r="Z75" s="208"/>
      <c r="AA75" s="208"/>
      <c r="AB75" s="208"/>
      <c r="AC75" s="208"/>
      <c r="AD75" s="208"/>
    </row>
    <row r="76" spans="1:30" s="159" customFormat="1">
      <c r="D76" s="210"/>
      <c r="E76" s="210"/>
      <c r="H76" s="160"/>
      <c r="I76" s="236"/>
      <c r="J76" s="162"/>
      <c r="K76" s="162"/>
      <c r="L76" s="162"/>
      <c r="M76" s="162"/>
      <c r="N76" s="162"/>
      <c r="P76" s="286"/>
      <c r="Q76" s="279"/>
      <c r="R76" s="279"/>
      <c r="S76" s="284"/>
      <c r="T76" s="284"/>
      <c r="U76" s="321"/>
      <c r="V76" s="321"/>
      <c r="W76" s="321"/>
      <c r="X76" s="321"/>
      <c r="Y76" s="321"/>
      <c r="Z76" s="208"/>
      <c r="AA76" s="208"/>
      <c r="AB76" s="208"/>
      <c r="AC76" s="208"/>
      <c r="AD76" s="208"/>
    </row>
    <row r="77" spans="1:30">
      <c r="D77" s="234" t="s">
        <v>448</v>
      </c>
      <c r="E77" s="234"/>
      <c r="H77" s="159" t="s">
        <v>449</v>
      </c>
      <c r="I77" s="236"/>
      <c r="J77" s="83"/>
      <c r="K77" s="83"/>
      <c r="L77" s="161"/>
      <c r="M77" s="162"/>
      <c r="N77" s="162"/>
      <c r="P77" s="286" t="s">
        <v>445</v>
      </c>
      <c r="Q77" s="279" t="s">
        <v>391</v>
      </c>
      <c r="R77" s="279" t="s">
        <v>392</v>
      </c>
      <c r="S77" s="321">
        <f>IF(P77="Y",VLOOKUP(Q77,Rates2021,3,0)*PercIncr2022,VLOOKUP(Q77,Rates2021,3,0))</f>
        <v>2.0284893628124996</v>
      </c>
      <c r="T77" s="284"/>
      <c r="U77" s="321"/>
      <c r="V77" s="321"/>
      <c r="W77" s="321"/>
      <c r="X77" s="321"/>
      <c r="Y77" s="321"/>
    </row>
    <row r="78" spans="1:30">
      <c r="A78" s="164"/>
      <c r="D78" s="163" t="str">
        <f>"duties, and shall receive a premium of "&amp;TEXT(S77,"$0.000" )&amp;" per hour on a 'as worked' basis when so assigned."</f>
        <v>duties, and shall receive a premium of $2.028 per hour on a 'as worked' basis when so assigned.</v>
      </c>
      <c r="E78" s="164"/>
      <c r="F78" s="164"/>
      <c r="H78" s="160"/>
      <c r="I78" s="159"/>
      <c r="J78" s="83"/>
      <c r="K78" s="83"/>
      <c r="L78" s="161"/>
      <c r="M78" s="162"/>
      <c r="N78" s="162"/>
      <c r="Q78" s="279"/>
      <c r="R78" s="279"/>
      <c r="S78" s="284"/>
      <c r="T78" s="284"/>
      <c r="U78" s="321"/>
      <c r="V78" s="321"/>
      <c r="W78" s="321"/>
      <c r="X78" s="321"/>
      <c r="Y78" s="321"/>
    </row>
    <row r="79" spans="1:30">
      <c r="A79" s="164"/>
      <c r="D79" s="163"/>
      <c r="E79" s="164"/>
      <c r="F79" s="164"/>
      <c r="H79" s="160"/>
      <c r="I79" s="159"/>
      <c r="J79" s="83"/>
      <c r="K79" s="83"/>
      <c r="L79" s="161"/>
      <c r="M79" s="162"/>
      <c r="N79" s="162"/>
      <c r="Q79" s="279"/>
      <c r="R79" s="279"/>
      <c r="S79" s="284"/>
      <c r="T79" s="284"/>
      <c r="U79" s="321"/>
      <c r="V79" s="321"/>
      <c r="W79" s="321"/>
      <c r="X79" s="321"/>
      <c r="Y79" s="321"/>
    </row>
    <row r="80" spans="1:30">
      <c r="D80" s="237" t="s">
        <v>242</v>
      </c>
      <c r="E80" s="217"/>
      <c r="Q80" s="279"/>
      <c r="R80" s="279"/>
      <c r="S80" s="284"/>
      <c r="T80" s="284"/>
      <c r="U80" s="321"/>
      <c r="V80" s="321"/>
      <c r="W80" s="321"/>
      <c r="X80" s="321"/>
      <c r="Y80" s="321"/>
    </row>
    <row r="81" spans="1:25">
      <c r="D81" s="238" t="s">
        <v>351</v>
      </c>
      <c r="E81" s="238"/>
      <c r="H81" s="217"/>
      <c r="I81" s="239"/>
      <c r="J81" s="213"/>
      <c r="Q81" s="279"/>
      <c r="R81" s="279"/>
      <c r="S81" s="284"/>
      <c r="T81" s="284"/>
      <c r="U81" s="321"/>
      <c r="V81" s="321"/>
      <c r="W81" s="321"/>
      <c r="X81" s="321"/>
      <c r="Y81" s="321"/>
    </row>
    <row r="82" spans="1:25">
      <c r="D82" s="238" t="str">
        <f>"premium of "&amp;TEXT(S82,"$0.000")&amp;" per hour for all hours spent training shall be paid.  The employer will establish strict assignment protocol."</f>
        <v>premium of $3.414 per hour for all hours spent training shall be paid.  The employer will establish strict assignment protocol.</v>
      </c>
      <c r="E82" s="238"/>
      <c r="H82" s="217"/>
      <c r="I82" s="239"/>
      <c r="J82" s="164"/>
      <c r="K82" s="164"/>
      <c r="L82" s="208"/>
      <c r="M82" s="208"/>
      <c r="N82" s="208"/>
      <c r="P82" s="286" t="s">
        <v>445</v>
      </c>
      <c r="Q82" s="288" t="s">
        <v>394</v>
      </c>
      <c r="R82" s="288" t="s">
        <v>395</v>
      </c>
      <c r="S82" s="321">
        <f>IF(P82="Y",VLOOKUP(Q82,Rates2021,3,0)*PercIncr2022,VLOOKUP(Q82,Rates2021,3,0))</f>
        <v>3.4144911901697186</v>
      </c>
      <c r="T82" s="321"/>
      <c r="U82" s="321"/>
      <c r="V82" s="321"/>
      <c r="W82" s="321"/>
      <c r="X82" s="321"/>
      <c r="Y82" s="321"/>
    </row>
    <row r="83" spans="1:25">
      <c r="D83" s="238"/>
      <c r="E83" s="238"/>
      <c r="I83" s="218"/>
      <c r="J83" s="220"/>
      <c r="M83" s="220"/>
      <c r="Q83" s="279"/>
      <c r="R83" s="279"/>
      <c r="S83" s="284"/>
      <c r="T83" s="284"/>
      <c r="U83" s="321"/>
      <c r="V83" s="321"/>
      <c r="W83" s="321"/>
      <c r="X83" s="321"/>
      <c r="Y83" s="321"/>
    </row>
    <row r="84" spans="1:25">
      <c r="A84" s="209"/>
      <c r="D84" s="237" t="s">
        <v>246</v>
      </c>
      <c r="E84" s="217"/>
      <c r="F84" s="209"/>
      <c r="G84" s="209"/>
      <c r="I84" s="218"/>
      <c r="J84" s="220"/>
      <c r="M84" s="220"/>
      <c r="Q84" s="279"/>
      <c r="R84" s="279"/>
      <c r="S84" s="284"/>
      <c r="T84" s="284"/>
      <c r="U84" s="321"/>
      <c r="V84" s="321"/>
      <c r="W84" s="321"/>
      <c r="X84" s="321"/>
      <c r="Y84" s="321"/>
    </row>
    <row r="85" spans="1:25">
      <c r="A85" s="209"/>
      <c r="D85" s="318" t="s">
        <v>450</v>
      </c>
      <c r="E85" s="238"/>
      <c r="F85" s="209"/>
      <c r="G85" s="209"/>
      <c r="H85" s="160" t="str">
        <f>"shall receive a premium of "&amp;TEXT(S85,"$0.000")&amp;" per hour for all hours worked performing Bio-Hazard Clean-up duties. "</f>
        <v xml:space="preserve">shall receive a premium of $0.869 per hour for all hours worked performing Bio-Hazard Clean-up duties. </v>
      </c>
      <c r="I85" s="164"/>
      <c r="J85" s="164"/>
      <c r="K85" s="240"/>
      <c r="L85" s="211"/>
      <c r="M85" s="162"/>
      <c r="N85" s="162"/>
      <c r="P85" s="286" t="s">
        <v>445</v>
      </c>
      <c r="Q85" s="279" t="s">
        <v>398</v>
      </c>
      <c r="R85" s="279" t="s">
        <v>399</v>
      </c>
      <c r="S85" s="321">
        <f>IF(P85="Y",VLOOKUP(Q85,Rates2021,3,0)*PercIncr2022,VLOOKUP(Q85,Rates2021,3,0))</f>
        <v>0.86889623099999991</v>
      </c>
      <c r="T85" s="284"/>
      <c r="U85" s="321"/>
      <c r="V85" s="321"/>
      <c r="W85" s="321"/>
      <c r="X85" s="321"/>
      <c r="Y85" s="321"/>
    </row>
    <row r="86" spans="1:25">
      <c r="A86" s="164"/>
      <c r="D86" s="163"/>
      <c r="E86" s="164"/>
      <c r="F86" s="164"/>
      <c r="H86" s="160"/>
      <c r="I86" s="159"/>
      <c r="J86" s="83"/>
      <c r="K86" s="83"/>
      <c r="L86" s="161"/>
      <c r="M86" s="162"/>
      <c r="N86" s="162"/>
      <c r="S86" s="321"/>
      <c r="T86" s="321"/>
      <c r="U86" s="321"/>
      <c r="V86" s="321"/>
      <c r="W86" s="321"/>
      <c r="X86" s="321"/>
      <c r="Y86" s="321"/>
    </row>
    <row r="87" spans="1:25">
      <c r="A87" s="83"/>
      <c r="D87" s="166" t="s">
        <v>400</v>
      </c>
      <c r="E87" s="166"/>
      <c r="F87" s="83"/>
      <c r="G87" s="83"/>
      <c r="H87" s="160"/>
      <c r="J87" s="241"/>
      <c r="K87" s="241"/>
      <c r="L87" s="242"/>
      <c r="M87" s="162"/>
      <c r="N87" s="162"/>
      <c r="Q87" s="279"/>
      <c r="R87" s="279"/>
      <c r="S87" s="284"/>
      <c r="T87" s="284"/>
      <c r="U87" s="325"/>
      <c r="V87" s="325"/>
      <c r="W87" s="325"/>
      <c r="X87" s="321"/>
      <c r="Y87" s="321"/>
    </row>
    <row r="88" spans="1:25" s="231" customFormat="1" ht="39" customHeight="1">
      <c r="A88" s="243"/>
      <c r="C88" s="209"/>
      <c r="D88" s="291" t="s">
        <v>188</v>
      </c>
      <c r="E88" s="241"/>
      <c r="F88" s="243"/>
      <c r="G88" s="243"/>
      <c r="H88" s="160"/>
      <c r="I88" s="167"/>
      <c r="L88" s="244" t="s">
        <v>451</v>
      </c>
      <c r="M88" s="244" t="s">
        <v>452</v>
      </c>
      <c r="N88" s="162"/>
      <c r="O88" s="159"/>
      <c r="P88" s="286"/>
      <c r="Q88" s="279"/>
      <c r="R88" s="279"/>
      <c r="S88" s="284"/>
      <c r="T88" s="284"/>
      <c r="U88" s="321"/>
      <c r="V88" s="321"/>
      <c r="W88" s="321"/>
      <c r="X88" s="325"/>
      <c r="Y88" s="325"/>
    </row>
    <row r="89" spans="1:25">
      <c r="A89" s="83"/>
      <c r="D89" s="160" t="s">
        <v>191</v>
      </c>
      <c r="E89" s="160"/>
      <c r="F89" s="83"/>
      <c r="G89" s="83"/>
      <c r="H89" s="160"/>
      <c r="J89" s="208"/>
      <c r="K89" s="208"/>
      <c r="L89" s="269">
        <f>S89</f>
        <v>0.50605960895894309</v>
      </c>
      <c r="M89" s="269"/>
      <c r="N89" s="162"/>
      <c r="P89" s="286" t="s">
        <v>445</v>
      </c>
      <c r="Q89" s="279" t="s">
        <v>403</v>
      </c>
      <c r="R89" s="279" t="s">
        <v>404</v>
      </c>
      <c r="S89" s="321">
        <f>IF(P89="Y",VLOOKUP(Q89,Rates2021,3,0)*PercIncr2022,VLOOKUP(Q89,Rates2021,3,0))</f>
        <v>0.50605960895894309</v>
      </c>
      <c r="T89" s="284"/>
      <c r="U89" s="321"/>
      <c r="V89" s="321"/>
      <c r="W89" s="321"/>
      <c r="X89" s="321"/>
      <c r="Y89" s="321"/>
    </row>
    <row r="90" spans="1:25">
      <c r="A90" s="83"/>
      <c r="D90" s="160" t="s">
        <v>355</v>
      </c>
      <c r="E90" s="160"/>
      <c r="F90" s="83"/>
      <c r="G90" s="83"/>
      <c r="H90" s="160"/>
      <c r="J90" s="208"/>
      <c r="K90" s="208"/>
      <c r="L90" s="269">
        <f>S90</f>
        <v>0.74511136270961797</v>
      </c>
      <c r="M90" s="269">
        <f>S91</f>
        <v>1.4157115891482741</v>
      </c>
      <c r="N90" s="162"/>
      <c r="P90" s="286" t="s">
        <v>445</v>
      </c>
      <c r="Q90" s="279" t="s">
        <v>405</v>
      </c>
      <c r="R90" s="279" t="s">
        <v>406</v>
      </c>
      <c r="S90" s="321">
        <f>IF(P90="Y",VLOOKUP(Q90,Rates2021,3,0)*PercIncr2022,VLOOKUP(Q90,Rates2021,3,0))</f>
        <v>0.74511136270961797</v>
      </c>
      <c r="T90" s="284"/>
      <c r="U90" s="321"/>
      <c r="V90" s="321"/>
      <c r="W90" s="321"/>
      <c r="X90" s="321"/>
      <c r="Y90" s="321"/>
    </row>
    <row r="91" spans="1:25" hidden="1">
      <c r="A91" s="83"/>
      <c r="D91" s="160"/>
      <c r="E91" s="160"/>
      <c r="F91" s="83"/>
      <c r="G91" s="83"/>
      <c r="H91" s="160"/>
      <c r="J91" s="208"/>
      <c r="K91" s="208"/>
      <c r="L91" s="220"/>
      <c r="M91" s="220"/>
      <c r="N91" s="162"/>
      <c r="P91" s="286" t="s">
        <v>445</v>
      </c>
      <c r="Q91" s="279" t="s">
        <v>407</v>
      </c>
      <c r="R91" s="279" t="s">
        <v>408</v>
      </c>
      <c r="S91" s="321">
        <f>IF(P91="Y",VLOOKUP(Q91,Rates2021,3,0)*PercIncr2022,VLOOKUP(Q91,Rates2021,3,0))</f>
        <v>1.4157115891482741</v>
      </c>
      <c r="T91" s="284"/>
      <c r="U91" s="321"/>
      <c r="V91" s="321"/>
      <c r="W91" s="321"/>
      <c r="X91" s="321"/>
      <c r="Y91" s="321"/>
    </row>
    <row r="92" spans="1:25">
      <c r="A92" s="83"/>
      <c r="D92" s="83" t="s">
        <v>193</v>
      </c>
      <c r="E92" s="83"/>
      <c r="F92" s="83"/>
      <c r="G92" s="83"/>
      <c r="H92" s="160"/>
      <c r="J92" s="208"/>
      <c r="K92" s="208"/>
      <c r="L92" s="269" t="s">
        <v>194</v>
      </c>
      <c r="M92" s="269">
        <f>S93</f>
        <v>1.2137523433624644</v>
      </c>
      <c r="N92" s="162"/>
      <c r="Q92" s="278"/>
      <c r="R92" s="278"/>
      <c r="S92" s="321"/>
      <c r="T92" s="284"/>
      <c r="U92" s="321"/>
      <c r="V92" s="321"/>
      <c r="W92" s="321"/>
      <c r="X92" s="321"/>
      <c r="Y92" s="321"/>
    </row>
    <row r="93" spans="1:25">
      <c r="A93" s="83"/>
      <c r="D93" s="160" t="s">
        <v>195</v>
      </c>
      <c r="E93" s="160"/>
      <c r="F93" s="83"/>
      <c r="G93" s="83"/>
      <c r="H93" s="160"/>
      <c r="J93" s="208"/>
      <c r="K93" s="208"/>
      <c r="L93" s="269">
        <f>S94</f>
        <v>2.0863118155869311</v>
      </c>
      <c r="M93" s="269"/>
      <c r="N93" s="162"/>
      <c r="P93" s="286" t="s">
        <v>445</v>
      </c>
      <c r="Q93" s="279" t="s">
        <v>409</v>
      </c>
      <c r="R93" s="279" t="s">
        <v>410</v>
      </c>
      <c r="S93" s="321">
        <f>IF(P93="Y",VLOOKUP(Q93,Rates2021,3,0)*PercIncr2022,VLOOKUP(Q93,Rates2021,3,0))</f>
        <v>1.2137523433624644</v>
      </c>
      <c r="T93" s="284"/>
      <c r="U93" s="321"/>
      <c r="V93" s="321"/>
      <c r="W93" s="321"/>
      <c r="X93" s="321"/>
      <c r="Y93" s="321"/>
    </row>
    <row r="94" spans="1:25">
      <c r="A94" s="83"/>
      <c r="D94" s="83" t="s">
        <v>196</v>
      </c>
      <c r="E94" s="83"/>
      <c r="F94" s="83"/>
      <c r="G94" s="83"/>
      <c r="H94" s="160"/>
      <c r="I94" s="236"/>
      <c r="J94" s="208"/>
      <c r="K94" s="208"/>
      <c r="L94" s="269">
        <f t="shared" ref="L94:L95" si="5">S95</f>
        <v>1.8627784067740456</v>
      </c>
      <c r="M94" s="249"/>
      <c r="N94" s="162"/>
      <c r="P94" s="286" t="s">
        <v>445</v>
      </c>
      <c r="Q94" s="279" t="s">
        <v>411</v>
      </c>
      <c r="R94" s="279" t="s">
        <v>412</v>
      </c>
      <c r="S94" s="321">
        <f>IF(P94="Y",VLOOKUP(Q94,Rates2021,3,0)*PercIncr2022,VLOOKUP(Q94,Rates2021,3,0))</f>
        <v>2.0863118155869311</v>
      </c>
      <c r="T94" s="284"/>
      <c r="U94" s="321"/>
      <c r="V94" s="321"/>
      <c r="W94" s="321"/>
      <c r="X94" s="321"/>
      <c r="Y94" s="321"/>
    </row>
    <row r="95" spans="1:25">
      <c r="A95" s="83"/>
      <c r="D95" s="83" t="s">
        <v>197</v>
      </c>
      <c r="E95" s="83"/>
      <c r="F95" s="83"/>
      <c r="G95" s="83"/>
      <c r="H95" s="160"/>
      <c r="I95" s="236"/>
      <c r="J95" s="208"/>
      <c r="K95" s="208"/>
      <c r="L95" s="269">
        <f t="shared" si="5"/>
        <v>0.74511136270961797</v>
      </c>
      <c r="M95" s="249"/>
      <c r="N95" s="162"/>
      <c r="P95" s="286" t="s">
        <v>445</v>
      </c>
      <c r="Q95" s="279" t="s">
        <v>413</v>
      </c>
      <c r="R95" s="279" t="s">
        <v>414</v>
      </c>
      <c r="S95" s="321">
        <f>IF(P95="Y",VLOOKUP(Q95,Rates2021,3,0)*PercIncr2022,VLOOKUP(Q95,Rates2021,3,0))</f>
        <v>1.8627784067740456</v>
      </c>
      <c r="T95" s="284"/>
      <c r="U95" s="321"/>
      <c r="V95" s="321"/>
      <c r="W95" s="321"/>
      <c r="X95" s="321"/>
      <c r="Y95" s="321"/>
    </row>
    <row r="96" spans="1:25">
      <c r="A96" s="83"/>
      <c r="D96" s="83"/>
      <c r="E96" s="83"/>
      <c r="F96" s="83"/>
      <c r="G96" s="83"/>
      <c r="H96" s="160"/>
      <c r="I96" s="236"/>
      <c r="J96" s="83"/>
      <c r="K96" s="83"/>
      <c r="L96" s="83"/>
      <c r="M96" s="162"/>
      <c r="N96" s="162"/>
      <c r="P96" s="286" t="s">
        <v>445</v>
      </c>
      <c r="Q96" s="279" t="s">
        <v>415</v>
      </c>
      <c r="R96" s="279" t="s">
        <v>416</v>
      </c>
      <c r="S96" s="321">
        <f>IF(P96="Y",VLOOKUP(Q96,Rates2021,3,0)*PercIncr2022,VLOOKUP(Q96,Rates2021,3,0))</f>
        <v>0.74511136270961797</v>
      </c>
      <c r="T96" s="284"/>
      <c r="U96" s="321"/>
      <c r="V96" s="321"/>
      <c r="W96" s="321"/>
      <c r="X96" s="321"/>
      <c r="Y96" s="321"/>
    </row>
    <row r="97" spans="1:25">
      <c r="A97" s="83"/>
      <c r="D97" s="234" t="s">
        <v>198</v>
      </c>
      <c r="E97" s="234"/>
      <c r="F97" s="83"/>
      <c r="G97" s="83"/>
      <c r="H97" s="160"/>
      <c r="I97" s="236"/>
      <c r="J97" s="83"/>
      <c r="K97" s="83"/>
      <c r="L97" s="83"/>
      <c r="M97" s="162"/>
      <c r="N97" s="162"/>
      <c r="S97" s="321"/>
      <c r="T97" s="284"/>
      <c r="U97" s="321"/>
      <c r="V97" s="321"/>
      <c r="W97" s="321"/>
      <c r="X97" s="321"/>
      <c r="Y97" s="321"/>
    </row>
    <row r="98" spans="1:25">
      <c r="A98" s="170"/>
      <c r="D98" s="165" t="s">
        <v>199</v>
      </c>
      <c r="E98" s="232"/>
      <c r="F98" s="170"/>
      <c r="G98" s="170"/>
      <c r="H98" s="245"/>
      <c r="I98" s="170"/>
      <c r="J98" s="170"/>
      <c r="K98" s="170"/>
      <c r="L98" s="170"/>
      <c r="M98" s="246"/>
      <c r="N98" s="246"/>
      <c r="Q98" s="279"/>
      <c r="R98" s="279"/>
      <c r="S98" s="284"/>
      <c r="T98" s="284"/>
      <c r="U98" s="321"/>
      <c r="V98" s="321"/>
      <c r="W98" s="321"/>
      <c r="X98" s="321"/>
      <c r="Y98" s="321"/>
    </row>
    <row r="99" spans="1:25">
      <c r="A99" s="170"/>
      <c r="D99" s="165" t="s">
        <v>200</v>
      </c>
      <c r="E99" s="232"/>
      <c r="F99" s="170"/>
      <c r="G99" s="170"/>
      <c r="H99" s="245"/>
      <c r="I99" s="170"/>
      <c r="J99" s="170"/>
      <c r="K99" s="170"/>
      <c r="L99" s="170"/>
      <c r="M99" s="246"/>
      <c r="N99" s="246"/>
      <c r="Q99" s="279"/>
      <c r="R99" s="279"/>
      <c r="S99" s="284"/>
      <c r="T99" s="284"/>
      <c r="U99" s="321"/>
      <c r="V99" s="321"/>
      <c r="W99" s="321"/>
      <c r="X99" s="321"/>
      <c r="Y99" s="321"/>
    </row>
    <row r="100" spans="1:25">
      <c r="A100" s="170"/>
      <c r="D100" s="165" t="s">
        <v>201</v>
      </c>
      <c r="E100" s="232"/>
      <c r="F100" s="170"/>
      <c r="G100" s="170"/>
      <c r="H100" s="245"/>
      <c r="I100" s="170"/>
      <c r="J100" s="170"/>
      <c r="K100" s="170"/>
      <c r="L100" s="170"/>
      <c r="M100" s="246"/>
      <c r="N100" s="246"/>
      <c r="Q100" s="279"/>
      <c r="R100" s="279"/>
      <c r="S100" s="284"/>
      <c r="T100" s="284"/>
      <c r="U100" s="321"/>
      <c r="V100" s="321"/>
      <c r="W100" s="321"/>
      <c r="X100" s="321"/>
      <c r="Y100" s="321"/>
    </row>
    <row r="101" spans="1:25">
      <c r="A101" s="170"/>
      <c r="D101" s="165" t="s">
        <v>202</v>
      </c>
      <c r="E101" s="232"/>
      <c r="F101" s="170"/>
      <c r="G101" s="170"/>
      <c r="H101" s="245"/>
      <c r="I101" s="170"/>
      <c r="J101" s="170"/>
      <c r="K101" s="170"/>
      <c r="L101" s="170"/>
      <c r="M101" s="246"/>
      <c r="N101" s="246"/>
      <c r="Q101" s="279"/>
      <c r="R101" s="279"/>
      <c r="S101" s="284"/>
      <c r="T101" s="284"/>
      <c r="U101" s="321"/>
      <c r="V101" s="321"/>
      <c r="W101" s="321"/>
      <c r="X101" s="321"/>
      <c r="Y101" s="321"/>
    </row>
    <row r="102" spans="1:25">
      <c r="A102" s="170"/>
      <c r="D102" s="165" t="s">
        <v>203</v>
      </c>
      <c r="E102" s="232"/>
      <c r="F102" s="170"/>
      <c r="G102" s="170"/>
      <c r="H102" s="245"/>
      <c r="I102" s="170"/>
      <c r="J102" s="170"/>
      <c r="K102" s="170"/>
      <c r="L102" s="170"/>
      <c r="M102" s="246"/>
      <c r="N102" s="246"/>
      <c r="Q102" s="279"/>
      <c r="R102" s="279"/>
      <c r="S102" s="284"/>
      <c r="T102" s="284"/>
      <c r="U102" s="321"/>
      <c r="V102" s="321"/>
      <c r="W102" s="321"/>
      <c r="X102" s="321"/>
      <c r="Y102" s="321"/>
    </row>
    <row r="103" spans="1:25">
      <c r="A103" s="170"/>
      <c r="D103" s="165" t="s">
        <v>204</v>
      </c>
      <c r="E103" s="232"/>
      <c r="F103" s="170"/>
      <c r="G103" s="170"/>
      <c r="H103" s="245"/>
      <c r="I103" s="170"/>
      <c r="J103" s="170"/>
      <c r="K103" s="170"/>
      <c r="L103" s="170"/>
      <c r="M103" s="246"/>
      <c r="N103" s="246"/>
      <c r="Q103" s="279"/>
      <c r="R103" s="279"/>
      <c r="S103" s="284"/>
      <c r="T103" s="284"/>
      <c r="U103" s="321"/>
      <c r="V103" s="321"/>
      <c r="W103" s="321"/>
      <c r="X103" s="321"/>
      <c r="Y103" s="321"/>
    </row>
    <row r="104" spans="1:25">
      <c r="A104" s="170"/>
      <c r="D104" s="165" t="s">
        <v>205</v>
      </c>
      <c r="E104" s="232"/>
      <c r="F104" s="170"/>
      <c r="G104" s="170"/>
      <c r="H104" s="245"/>
      <c r="I104" s="170"/>
      <c r="J104" s="170"/>
      <c r="K104" s="170"/>
      <c r="L104" s="170"/>
      <c r="M104" s="246"/>
      <c r="N104" s="246"/>
      <c r="Q104" s="279"/>
      <c r="R104" s="279"/>
      <c r="S104" s="284"/>
      <c r="T104" s="284"/>
      <c r="U104" s="326"/>
      <c r="V104" s="321"/>
      <c r="W104" s="321"/>
      <c r="X104" s="321"/>
      <c r="Y104" s="321"/>
    </row>
    <row r="105" spans="1:25">
      <c r="A105" s="170"/>
      <c r="D105" s="165" t="s">
        <v>206</v>
      </c>
      <c r="E105" s="232"/>
      <c r="F105" s="170"/>
      <c r="G105" s="170"/>
      <c r="H105" s="245"/>
      <c r="I105" s="170"/>
      <c r="J105" s="170"/>
      <c r="K105" s="170"/>
      <c r="L105" s="170"/>
      <c r="M105" s="246"/>
      <c r="N105" s="246"/>
      <c r="Q105" s="279"/>
      <c r="R105" s="279"/>
      <c r="S105" s="284"/>
      <c r="T105" s="284"/>
      <c r="U105" s="326"/>
      <c r="V105" s="321"/>
      <c r="W105" s="321"/>
      <c r="X105" s="321"/>
      <c r="Y105" s="321"/>
    </row>
    <row r="106" spans="1:25">
      <c r="A106" s="170"/>
      <c r="D106" s="163" t="s">
        <v>207</v>
      </c>
      <c r="E106" s="247"/>
      <c r="F106" s="170"/>
      <c r="G106" s="170"/>
      <c r="H106" s="245"/>
      <c r="I106" s="170"/>
      <c r="J106" s="170"/>
      <c r="K106" s="170"/>
      <c r="L106" s="170"/>
      <c r="M106" s="246"/>
      <c r="N106" s="246"/>
      <c r="Q106" s="279"/>
      <c r="R106" s="279"/>
      <c r="S106" s="284"/>
      <c r="T106" s="284"/>
      <c r="U106" s="321"/>
      <c r="V106" s="326"/>
      <c r="W106" s="321"/>
      <c r="X106" s="321"/>
      <c r="Y106" s="321"/>
    </row>
    <row r="107" spans="1:25">
      <c r="A107" s="170"/>
      <c r="D107" s="163" t="s">
        <v>208</v>
      </c>
      <c r="E107" s="247"/>
      <c r="F107" s="170"/>
      <c r="G107" s="170"/>
      <c r="H107" s="245"/>
      <c r="I107" s="170"/>
      <c r="J107" s="170"/>
      <c r="K107" s="170"/>
      <c r="L107" s="170"/>
      <c r="M107" s="246"/>
      <c r="N107" s="246"/>
      <c r="Q107" s="279"/>
      <c r="R107" s="279"/>
      <c r="S107" s="284"/>
      <c r="T107" s="284"/>
      <c r="U107" s="321"/>
      <c r="V107" s="326"/>
      <c r="W107" s="321"/>
      <c r="X107" s="321"/>
      <c r="Y107" s="321"/>
    </row>
    <row r="108" spans="1:25">
      <c r="A108" s="170"/>
      <c r="D108" s="163" t="s">
        <v>209</v>
      </c>
      <c r="E108" s="247"/>
      <c r="F108" s="170"/>
      <c r="G108" s="170"/>
      <c r="H108" s="245"/>
      <c r="I108" s="170"/>
      <c r="J108" s="170"/>
      <c r="K108" s="170"/>
      <c r="L108" s="170"/>
      <c r="M108" s="246"/>
      <c r="N108" s="246"/>
      <c r="Q108" s="279"/>
      <c r="R108" s="279"/>
      <c r="S108" s="284"/>
      <c r="T108" s="284"/>
      <c r="U108" s="321"/>
      <c r="V108" s="321"/>
      <c r="W108" s="326"/>
      <c r="X108" s="321"/>
      <c r="Y108" s="321"/>
    </row>
    <row r="109" spans="1:25">
      <c r="A109" s="170"/>
      <c r="D109" s="165" t="s">
        <v>210</v>
      </c>
      <c r="E109" s="232"/>
      <c r="F109" s="170"/>
      <c r="G109" s="170"/>
      <c r="H109" s="245"/>
      <c r="I109" s="170"/>
      <c r="J109" s="170"/>
      <c r="K109" s="170"/>
      <c r="L109" s="170"/>
      <c r="M109" s="246"/>
      <c r="N109" s="246"/>
      <c r="Q109" s="279"/>
      <c r="R109" s="279"/>
      <c r="S109" s="284"/>
      <c r="T109" s="284"/>
      <c r="U109" s="321"/>
      <c r="V109" s="321"/>
      <c r="W109" s="326"/>
      <c r="X109" s="321"/>
      <c r="Y109" s="321"/>
    </row>
    <row r="110" spans="1:25">
      <c r="A110" s="170"/>
      <c r="D110" s="165" t="s">
        <v>211</v>
      </c>
      <c r="E110" s="232"/>
      <c r="F110" s="170"/>
      <c r="G110" s="170"/>
      <c r="H110" s="245"/>
      <c r="I110" s="170"/>
      <c r="J110" s="170"/>
      <c r="K110" s="170"/>
      <c r="L110" s="170"/>
      <c r="M110" s="246"/>
      <c r="N110" s="246"/>
      <c r="Q110" s="279"/>
      <c r="R110" s="279"/>
      <c r="S110" s="284"/>
      <c r="T110" s="284"/>
      <c r="U110" s="321"/>
      <c r="V110" s="321"/>
      <c r="W110" s="326"/>
      <c r="X110" s="321"/>
      <c r="Y110" s="321"/>
    </row>
    <row r="111" spans="1:25">
      <c r="A111" s="170"/>
      <c r="D111" s="165" t="s">
        <v>212</v>
      </c>
      <c r="E111" s="232"/>
      <c r="F111" s="170"/>
      <c r="G111" s="170"/>
      <c r="H111" s="245"/>
      <c r="I111" s="170"/>
      <c r="J111" s="170"/>
      <c r="K111" s="170"/>
      <c r="L111" s="170"/>
      <c r="M111" s="246"/>
      <c r="N111" s="246"/>
      <c r="Q111" s="279"/>
      <c r="R111" s="279"/>
      <c r="S111" s="284"/>
      <c r="T111" s="284"/>
      <c r="U111" s="321"/>
      <c r="V111" s="321"/>
      <c r="W111" s="326"/>
      <c r="X111" s="321"/>
      <c r="Y111" s="321"/>
    </row>
    <row r="112" spans="1:25">
      <c r="A112" s="208"/>
      <c r="D112" s="232"/>
      <c r="E112" s="232"/>
      <c r="F112" s="170"/>
      <c r="G112" s="171" t="s">
        <v>213</v>
      </c>
      <c r="H112" s="245"/>
      <c r="I112" s="170"/>
      <c r="J112" s="170"/>
      <c r="K112" s="170"/>
      <c r="L112" s="170"/>
      <c r="M112" s="246"/>
      <c r="N112" s="246"/>
      <c r="Q112" s="279"/>
      <c r="R112" s="279"/>
      <c r="S112" s="284"/>
      <c r="T112" s="284"/>
      <c r="U112" s="321"/>
      <c r="V112" s="321"/>
      <c r="W112" s="326"/>
      <c r="X112" s="321"/>
      <c r="Y112" s="321"/>
    </row>
    <row r="113" spans="1:25">
      <c r="A113" s="208"/>
      <c r="D113" s="232"/>
      <c r="E113" s="232"/>
      <c r="F113" s="170"/>
      <c r="G113" s="171" t="s">
        <v>356</v>
      </c>
      <c r="H113" s="245"/>
      <c r="I113" s="170"/>
      <c r="J113" s="170"/>
      <c r="K113" s="170"/>
      <c r="L113" s="170"/>
      <c r="M113" s="246"/>
      <c r="N113" s="246"/>
      <c r="Q113" s="279"/>
      <c r="R113" s="279"/>
      <c r="S113" s="284"/>
      <c r="T113" s="284"/>
      <c r="U113" s="321"/>
      <c r="V113" s="321"/>
      <c r="W113" s="326"/>
      <c r="X113" s="321"/>
      <c r="Y113" s="321"/>
    </row>
    <row r="114" spans="1:25">
      <c r="A114" s="208"/>
      <c r="D114" s="232"/>
      <c r="E114" s="232"/>
      <c r="F114" s="170"/>
      <c r="G114" s="171" t="s">
        <v>215</v>
      </c>
      <c r="H114" s="245"/>
      <c r="I114" s="170"/>
      <c r="J114" s="170"/>
      <c r="K114" s="170"/>
      <c r="L114" s="170"/>
      <c r="M114" s="246"/>
      <c r="N114" s="246"/>
      <c r="Q114" s="279"/>
      <c r="R114" s="279"/>
      <c r="S114" s="284"/>
      <c r="T114" s="284"/>
      <c r="U114" s="321"/>
      <c r="V114" s="321"/>
      <c r="W114" s="326"/>
      <c r="X114" s="321"/>
      <c r="Y114" s="321"/>
    </row>
    <row r="115" spans="1:25" s="164" customFormat="1">
      <c r="A115" s="170"/>
      <c r="C115" s="159"/>
      <c r="D115" s="232" t="s">
        <v>216</v>
      </c>
      <c r="E115" s="232"/>
      <c r="F115" s="170"/>
      <c r="G115" s="170"/>
      <c r="H115" s="245"/>
      <c r="I115" s="170"/>
      <c r="J115" s="246"/>
      <c r="K115" s="246"/>
      <c r="L115" s="246"/>
      <c r="M115" s="246"/>
      <c r="N115" s="246"/>
      <c r="O115" s="159"/>
      <c r="P115" s="286"/>
      <c r="Q115" s="279"/>
      <c r="R115" s="279"/>
      <c r="S115" s="284"/>
      <c r="T115" s="284"/>
      <c r="U115" s="321"/>
      <c r="V115" s="321"/>
      <c r="W115" s="321"/>
      <c r="X115" s="326"/>
      <c r="Y115" s="326"/>
    </row>
    <row r="116" spans="1:25" s="164" customFormat="1">
      <c r="A116" s="83"/>
      <c r="C116" s="159"/>
      <c r="D116" s="165"/>
      <c r="E116" s="165"/>
      <c r="F116" s="83"/>
      <c r="G116" s="83"/>
      <c r="H116" s="160"/>
      <c r="I116" s="236"/>
      <c r="J116" s="162"/>
      <c r="K116" s="162"/>
      <c r="L116" s="162"/>
      <c r="M116" s="162"/>
      <c r="N116" s="162"/>
      <c r="O116" s="159"/>
      <c r="P116" s="286"/>
      <c r="Q116" s="279"/>
      <c r="R116" s="279"/>
      <c r="S116" s="284"/>
      <c r="T116" s="284"/>
      <c r="U116" s="321"/>
      <c r="V116" s="321"/>
      <c r="W116" s="321"/>
      <c r="X116" s="326"/>
      <c r="Y116" s="326"/>
    </row>
    <row r="117" spans="1:25" s="164" customFormat="1">
      <c r="A117" s="83"/>
      <c r="C117" s="159"/>
      <c r="D117" s="166" t="s">
        <v>217</v>
      </c>
      <c r="E117" s="166"/>
      <c r="F117" s="83"/>
      <c r="G117" s="83"/>
      <c r="H117" s="160"/>
      <c r="I117" s="248"/>
      <c r="J117" s="249"/>
      <c r="K117" s="162"/>
      <c r="L117" s="162"/>
      <c r="M117" s="162"/>
      <c r="N117" s="162"/>
      <c r="O117" s="159"/>
      <c r="P117" s="286"/>
      <c r="Q117" s="279"/>
      <c r="R117" s="279"/>
      <c r="S117" s="284"/>
      <c r="T117" s="284"/>
      <c r="U117" s="321"/>
      <c r="V117" s="321"/>
      <c r="W117" s="321"/>
      <c r="X117" s="326"/>
      <c r="Y117" s="326"/>
    </row>
    <row r="118" spans="1:25">
      <c r="A118" s="83"/>
      <c r="D118" s="165" t="s">
        <v>357</v>
      </c>
      <c r="E118" s="165"/>
      <c r="F118" s="83"/>
      <c r="G118" s="83"/>
      <c r="H118" s="160"/>
      <c r="I118" s="236"/>
      <c r="J118" s="249"/>
      <c r="K118" s="162"/>
      <c r="L118" s="162"/>
      <c r="M118" s="162"/>
      <c r="N118" s="162"/>
      <c r="Q118" s="311" t="s">
        <v>417</v>
      </c>
      <c r="R118" s="279"/>
      <c r="S118" s="284"/>
      <c r="T118" s="284"/>
      <c r="U118" s="321"/>
      <c r="V118" s="321"/>
      <c r="W118" s="321"/>
      <c r="X118" s="321"/>
      <c r="Y118" s="321"/>
    </row>
    <row r="119" spans="1:25">
      <c r="A119" s="208"/>
      <c r="E119" s="269">
        <f>S119</f>
        <v>0.26884416725943844</v>
      </c>
      <c r="F119" s="208"/>
      <c r="G119" s="160" t="s">
        <v>220</v>
      </c>
      <c r="H119" s="160"/>
      <c r="I119" s="236"/>
      <c r="J119" s="249"/>
      <c r="K119" s="162"/>
      <c r="L119" s="162"/>
      <c r="M119" s="162"/>
      <c r="N119" s="162"/>
      <c r="P119" s="286" t="s">
        <v>445</v>
      </c>
      <c r="Q119" s="279" t="s">
        <v>418</v>
      </c>
      <c r="R119" s="279"/>
      <c r="S119" s="321">
        <f>IF(P119="Y",VLOOKUP(Q119,Rates2021,3,0)*PercIncr2022,VLOOKUP(Q119,Rates2021,3,0))</f>
        <v>0.26884416725943844</v>
      </c>
      <c r="T119" s="284"/>
      <c r="U119" s="321"/>
      <c r="V119" s="321"/>
      <c r="W119" s="321"/>
      <c r="X119" s="321"/>
      <c r="Y119" s="321"/>
    </row>
    <row r="120" spans="1:25">
      <c r="A120" s="208"/>
      <c r="E120" s="269">
        <f t="shared" ref="E120:E122" si="6">S120</f>
        <v>0.44675574853406713</v>
      </c>
      <c r="F120" s="208"/>
      <c r="G120" s="160" t="s">
        <v>221</v>
      </c>
      <c r="P120" s="286" t="s">
        <v>445</v>
      </c>
      <c r="Q120" s="279" t="s">
        <v>419</v>
      </c>
      <c r="R120" s="279"/>
      <c r="S120" s="321">
        <f>IF(P120="Y",VLOOKUP(Q120,Rates2021,3,0)*PercIncr2022,VLOOKUP(Q120,Rates2021,3,0))</f>
        <v>0.44675574853406713</v>
      </c>
      <c r="T120" s="284"/>
      <c r="U120" s="321"/>
      <c r="V120" s="321"/>
      <c r="W120" s="321"/>
      <c r="X120" s="321"/>
      <c r="Y120" s="321"/>
    </row>
    <row r="121" spans="1:25">
      <c r="A121" s="208"/>
      <c r="E121" s="269">
        <f t="shared" si="6"/>
        <v>0.53900619808387429</v>
      </c>
      <c r="F121" s="208"/>
      <c r="G121" s="160" t="s">
        <v>222</v>
      </c>
      <c r="H121" s="250"/>
      <c r="I121" s="251"/>
      <c r="J121" s="252"/>
      <c r="P121" s="286" t="s">
        <v>445</v>
      </c>
      <c r="Q121" s="279" t="s">
        <v>420</v>
      </c>
      <c r="R121" s="279"/>
      <c r="S121" s="321">
        <f>IF(P121="Y",VLOOKUP(Q121,Rates2021,3,0)*PercIncr2022,VLOOKUP(Q121,Rates2021,3,0))</f>
        <v>0.53900619808387429</v>
      </c>
      <c r="T121" s="284"/>
      <c r="U121" s="321"/>
      <c r="V121" s="321"/>
      <c r="W121" s="321"/>
      <c r="X121" s="321"/>
      <c r="Y121" s="321"/>
    </row>
    <row r="122" spans="1:25">
      <c r="A122" s="208"/>
      <c r="E122" s="269">
        <f t="shared" si="6"/>
        <v>0.70637487083852502</v>
      </c>
      <c r="F122" s="208"/>
      <c r="G122" s="160" t="s">
        <v>223</v>
      </c>
      <c r="I122" s="208"/>
      <c r="J122" s="252"/>
      <c r="P122" s="286" t="s">
        <v>445</v>
      </c>
      <c r="Q122" s="279" t="s">
        <v>421</v>
      </c>
      <c r="R122" s="279"/>
      <c r="S122" s="321">
        <f>IF(P122="Y",VLOOKUP(Q122,Rates2021,3,0)*PercIncr2022,VLOOKUP(Q122,Rates2021,3,0))</f>
        <v>0.70637487083852502</v>
      </c>
      <c r="T122" s="284"/>
      <c r="U122" s="321"/>
      <c r="V122" s="321"/>
      <c r="W122" s="321"/>
      <c r="X122" s="321"/>
      <c r="Y122" s="321"/>
    </row>
    <row r="123" spans="1:25">
      <c r="H123" s="253"/>
      <c r="I123" s="254"/>
      <c r="J123" s="255"/>
      <c r="Q123" s="278"/>
      <c r="R123" s="278"/>
      <c r="S123" s="321"/>
      <c r="T123" s="284"/>
      <c r="U123" s="321"/>
      <c r="V123" s="321"/>
      <c r="W123" s="321"/>
      <c r="X123" s="321"/>
      <c r="Y123" s="321"/>
    </row>
    <row r="124" spans="1:25">
      <c r="A124" s="256"/>
      <c r="D124" s="166" t="s">
        <v>224</v>
      </c>
      <c r="E124" s="166"/>
      <c r="F124" s="256"/>
      <c r="G124" s="256"/>
      <c r="I124" s="257"/>
      <c r="J124" s="258"/>
      <c r="Q124" s="278"/>
      <c r="R124" s="278"/>
      <c r="S124" s="321"/>
      <c r="T124" s="284"/>
      <c r="U124" s="321"/>
      <c r="V124" s="321"/>
      <c r="W124" s="321"/>
      <c r="X124" s="321"/>
      <c r="Y124" s="321"/>
    </row>
    <row r="125" spans="1:25">
      <c r="A125" s="259"/>
      <c r="D125" s="165" t="s">
        <v>453</v>
      </c>
      <c r="E125" s="165"/>
      <c r="F125" s="259"/>
      <c r="G125" s="259"/>
      <c r="H125" s="211" t="str">
        <f>"The employer shall pay a Shift Differential equal to  "&amp;TEXT(S127,"$0.000")&amp;" per hour for all work shifts that have a "</f>
        <v xml:space="preserve">The employer shall pay a Shift Differential equal to  $1.505 per hour for all work shifts that have a </v>
      </c>
      <c r="K125" s="208"/>
      <c r="L125" s="260"/>
      <c r="M125" s="211"/>
      <c r="N125" s="208"/>
      <c r="Q125" s="279"/>
      <c r="R125" s="279"/>
      <c r="S125" s="284"/>
      <c r="T125" s="284"/>
      <c r="U125" s="321"/>
      <c r="V125" s="321"/>
      <c r="W125" s="321"/>
      <c r="X125" s="321"/>
      <c r="Y125" s="321"/>
    </row>
    <row r="126" spans="1:25">
      <c r="A126" s="256"/>
      <c r="D126" s="165" t="s">
        <v>359</v>
      </c>
      <c r="E126" s="165"/>
      <c r="F126" s="256"/>
      <c r="G126" s="256"/>
      <c r="P126" s="313"/>
      <c r="Q126" s="279"/>
      <c r="R126" s="279"/>
      <c r="S126" s="284"/>
      <c r="T126" s="284"/>
      <c r="U126" s="321"/>
      <c r="V126" s="321"/>
      <c r="W126" s="321"/>
      <c r="X126" s="321"/>
      <c r="Y126" s="321"/>
    </row>
    <row r="127" spans="1:25">
      <c r="A127" s="258"/>
      <c r="D127" s="165" t="s">
        <v>227</v>
      </c>
      <c r="E127" s="165"/>
      <c r="F127" s="258"/>
      <c r="G127" s="258"/>
      <c r="P127" s="286" t="s">
        <v>445</v>
      </c>
      <c r="Q127" s="279" t="s">
        <v>423</v>
      </c>
      <c r="R127" s="279" t="s">
        <v>424</v>
      </c>
      <c r="S127" s="321">
        <f>IF(P127="Y",VLOOKUP(Q127,Rates2021,3,0)*PercIncr2022,VLOOKUP(Q127,Rates2021,3,0))</f>
        <v>1.5045960470624997</v>
      </c>
      <c r="T127" s="284"/>
      <c r="U127" s="321"/>
      <c r="V127" s="321"/>
      <c r="W127" s="321"/>
      <c r="X127" s="321"/>
      <c r="Y127" s="321"/>
    </row>
    <row r="128" spans="1:25">
      <c r="A128" s="258"/>
      <c r="D128" s="165" t="s">
        <v>228</v>
      </c>
      <c r="E128" s="165"/>
      <c r="F128" s="258"/>
      <c r="G128" s="258"/>
      <c r="P128" s="286" t="s">
        <v>445</v>
      </c>
      <c r="Q128" s="279" t="s">
        <v>425</v>
      </c>
      <c r="R128" s="279" t="s">
        <v>426</v>
      </c>
      <c r="S128" s="321">
        <f>IF(P128="Y",VLOOKUP(Q128,Rates2021,3,0)*PercIncr2022,VLOOKUP(Q128,Rates2021,3,0))</f>
        <v>1.5045960470624997</v>
      </c>
      <c r="T128" s="284"/>
      <c r="U128" s="321"/>
      <c r="V128" s="321"/>
      <c r="W128" s="321"/>
      <c r="X128" s="321"/>
      <c r="Y128" s="321"/>
    </row>
    <row r="129" spans="1:25">
      <c r="D129" s="165" t="s">
        <v>229</v>
      </c>
      <c r="E129" s="165"/>
      <c r="H129" s="160"/>
      <c r="I129" s="236"/>
      <c r="J129" s="83"/>
      <c r="K129" s="83"/>
      <c r="P129" s="286" t="s">
        <v>445</v>
      </c>
      <c r="Q129" s="279" t="s">
        <v>427</v>
      </c>
      <c r="R129" s="279" t="s">
        <v>428</v>
      </c>
      <c r="S129" s="321">
        <f>IF(P129="Y",VLOOKUP(Q129,Rates2021,3,0)*PercIncr2022,VLOOKUP(Q129,Rates2021,3,0))</f>
        <v>1.5045960470624997</v>
      </c>
      <c r="T129" s="284"/>
      <c r="U129" s="321"/>
      <c r="V129" s="321"/>
      <c r="W129" s="321"/>
      <c r="X129" s="321"/>
      <c r="Y129" s="321"/>
    </row>
    <row r="130" spans="1:25">
      <c r="D130" s="83"/>
      <c r="E130" s="83"/>
      <c r="H130" s="160"/>
      <c r="I130" s="236"/>
      <c r="J130" s="83"/>
      <c r="K130" s="83"/>
      <c r="Q130" s="279"/>
      <c r="R130" s="279"/>
      <c r="S130" s="284"/>
      <c r="T130" s="284"/>
      <c r="U130" s="321"/>
      <c r="V130" s="321"/>
      <c r="W130" s="321"/>
      <c r="X130" s="321"/>
      <c r="Y130" s="321"/>
    </row>
    <row r="131" spans="1:25">
      <c r="A131" s="83"/>
      <c r="D131" s="83" t="s">
        <v>454</v>
      </c>
      <c r="E131" s="83"/>
      <c r="F131" s="83"/>
      <c r="G131" s="83"/>
      <c r="H131" s="160"/>
      <c r="I131" s="236"/>
      <c r="J131" s="83"/>
      <c r="K131" s="83"/>
      <c r="P131" s="286" t="s">
        <v>445</v>
      </c>
      <c r="Q131" s="279" t="s">
        <v>431</v>
      </c>
      <c r="R131" s="279" t="s">
        <v>432</v>
      </c>
      <c r="S131" s="321">
        <f>IF(P131="Y",VLOOKUP(Q131,Rates2021,3,0)*PercIncr2022,VLOOKUP(Q131,Rates2021,3,0))</f>
        <v>1.3384835323124997</v>
      </c>
      <c r="T131" s="284"/>
      <c r="U131" s="321"/>
      <c r="V131" s="321"/>
      <c r="W131" s="321"/>
      <c r="X131" s="321"/>
      <c r="Y131" s="321"/>
    </row>
    <row r="132" spans="1:25">
      <c r="D132" s="210" t="str">
        <f>"between 11:00 a.m. and 6:00 a.m. shall be paid an additional "&amp;TEXT(S131,"$0.000") &amp; " per hour for all hours worked on the shift, including any overtime worked."</f>
        <v>between 11:00 a.m. and 6:00 a.m. shall be paid an additional $1.338 per hour for all hours worked on the shift, including any overtime worked.</v>
      </c>
      <c r="Q132" s="279"/>
      <c r="R132" s="279"/>
      <c r="S132" s="279"/>
      <c r="T132" s="279"/>
    </row>
    <row r="133" spans="1:25">
      <c r="A133" s="83"/>
      <c r="F133" s="83"/>
      <c r="G133" s="83"/>
      <c r="Q133" s="279"/>
      <c r="R133" s="279"/>
      <c r="S133" s="279"/>
      <c r="T133" s="279"/>
    </row>
    <row r="134" spans="1:25">
      <c r="A134" s="83"/>
      <c r="D134" s="159"/>
      <c r="E134" s="159"/>
      <c r="F134" s="83"/>
      <c r="G134" s="83"/>
      <c r="Q134" s="278"/>
      <c r="R134" s="278"/>
      <c r="T134" s="279"/>
    </row>
    <row r="135" spans="1:25">
      <c r="A135" s="83"/>
      <c r="D135" s="166" t="s">
        <v>456</v>
      </c>
      <c r="E135" s="166"/>
      <c r="F135" s="83"/>
      <c r="G135" s="83"/>
      <c r="H135" s="160"/>
      <c r="J135" s="83"/>
      <c r="K135" s="83"/>
      <c r="L135" s="83"/>
      <c r="M135" s="162"/>
      <c r="N135" s="162"/>
      <c r="Q135" s="279"/>
      <c r="R135" s="279"/>
      <c r="S135" s="279"/>
      <c r="T135" s="279"/>
      <c r="U135" s="287"/>
    </row>
    <row r="136" spans="1:25">
      <c r="A136" s="83"/>
      <c r="D136" s="165" t="s">
        <v>181</v>
      </c>
      <c r="E136" s="165"/>
      <c r="F136" s="83"/>
      <c r="G136" s="83"/>
      <c r="H136" s="160"/>
      <c r="J136" s="83"/>
      <c r="K136" s="83"/>
      <c r="L136" s="83"/>
      <c r="M136" s="162"/>
      <c r="N136" s="162"/>
      <c r="Q136" s="279"/>
      <c r="R136" s="279"/>
      <c r="S136" s="279"/>
      <c r="T136" s="279"/>
      <c r="U136" s="287"/>
      <c r="V136" s="287"/>
    </row>
    <row r="137" spans="1:25" ht="26.25">
      <c r="A137" s="208"/>
      <c r="D137" s="166"/>
      <c r="E137" s="166"/>
      <c r="F137" s="83"/>
      <c r="G137" s="168" t="s">
        <v>182</v>
      </c>
      <c r="H137" s="169" t="s">
        <v>183</v>
      </c>
      <c r="I137" s="208"/>
      <c r="J137" s="83"/>
      <c r="K137" s="83"/>
      <c r="L137" s="83"/>
      <c r="M137" s="162"/>
      <c r="N137" s="162"/>
      <c r="Q137" s="279"/>
      <c r="R137" s="279"/>
      <c r="S137" s="279"/>
      <c r="T137" s="279"/>
      <c r="U137" s="287"/>
      <c r="V137" s="287"/>
    </row>
    <row r="138" spans="1:25">
      <c r="A138" s="208"/>
      <c r="D138" s="208"/>
      <c r="E138" s="208"/>
      <c r="F138" s="83"/>
      <c r="G138" s="162" t="s">
        <v>154</v>
      </c>
      <c r="H138" s="162" t="s">
        <v>184</v>
      </c>
      <c r="I138" s="208"/>
      <c r="J138" s="83"/>
      <c r="K138" s="83"/>
      <c r="L138" s="83"/>
      <c r="M138" s="162"/>
      <c r="N138" s="162"/>
      <c r="O138" s="208"/>
      <c r="Q138" s="279"/>
      <c r="R138" s="278"/>
      <c r="T138" s="279"/>
      <c r="U138" s="287"/>
      <c r="V138" s="287"/>
      <c r="W138" s="287"/>
    </row>
    <row r="139" spans="1:25">
      <c r="A139" s="208"/>
      <c r="D139" s="163"/>
      <c r="E139" s="163"/>
      <c r="F139" s="83"/>
      <c r="G139" s="162" t="s">
        <v>156</v>
      </c>
      <c r="H139" s="162" t="s">
        <v>185</v>
      </c>
      <c r="I139" s="208"/>
      <c r="J139" s="83"/>
      <c r="K139" s="83"/>
      <c r="L139" s="83"/>
      <c r="M139" s="162"/>
      <c r="N139" s="162"/>
      <c r="Q139" s="278"/>
      <c r="R139" s="279"/>
      <c r="S139" s="279"/>
      <c r="V139" s="287"/>
      <c r="W139" s="287"/>
    </row>
    <row r="140" spans="1:25" s="164" customFormat="1">
      <c r="A140" s="208"/>
      <c r="C140" s="209"/>
      <c r="D140" s="208"/>
      <c r="E140" s="160"/>
      <c r="F140" s="208"/>
      <c r="G140" s="162" t="s">
        <v>158</v>
      </c>
      <c r="H140" s="162" t="s">
        <v>186</v>
      </c>
      <c r="I140" s="208"/>
      <c r="J140" s="83"/>
      <c r="K140" s="83"/>
      <c r="L140" s="83"/>
      <c r="M140" s="162"/>
      <c r="N140" s="162"/>
      <c r="O140" s="159"/>
      <c r="P140" s="286"/>
      <c r="Q140" s="279"/>
      <c r="R140" s="279"/>
      <c r="S140" s="279"/>
      <c r="T140" s="279"/>
      <c r="U140" s="278"/>
      <c r="V140" s="287"/>
      <c r="W140" s="287"/>
      <c r="X140" s="287"/>
      <c r="Y140" s="287"/>
    </row>
    <row r="141" spans="1:25" s="164" customFormat="1">
      <c r="A141" s="162"/>
      <c r="C141" s="209"/>
      <c r="D141" s="210"/>
      <c r="E141" s="210"/>
      <c r="F141" s="162"/>
      <c r="G141" s="162"/>
      <c r="H141" s="211"/>
      <c r="I141" s="167"/>
      <c r="J141" s="159"/>
      <c r="K141" s="159"/>
      <c r="L141" s="159"/>
      <c r="M141" s="159"/>
      <c r="N141" s="159"/>
      <c r="O141" s="159"/>
      <c r="P141" s="286"/>
      <c r="Q141" s="279"/>
      <c r="R141" s="279"/>
      <c r="S141" s="279"/>
      <c r="T141" s="279"/>
      <c r="U141" s="278"/>
      <c r="V141" s="278"/>
      <c r="W141" s="287"/>
      <c r="X141" s="287"/>
      <c r="Y141" s="287"/>
    </row>
    <row r="142" spans="1:25" s="164" customFormat="1">
      <c r="A142" s="83"/>
      <c r="C142" s="159"/>
      <c r="D142" s="165"/>
      <c r="E142" s="165"/>
      <c r="F142" s="83"/>
      <c r="G142" s="83"/>
      <c r="H142" s="211"/>
      <c r="I142" s="167"/>
      <c r="J142" s="159"/>
      <c r="K142" s="159"/>
      <c r="L142" s="159"/>
      <c r="M142" s="159"/>
      <c r="N142" s="159"/>
      <c r="O142" s="159"/>
      <c r="P142" s="286"/>
      <c r="Q142" s="279"/>
      <c r="R142" s="279"/>
      <c r="S142" s="279"/>
      <c r="T142" s="279"/>
      <c r="U142" s="278"/>
      <c r="V142" s="278"/>
      <c r="W142" s="278"/>
      <c r="X142" s="287"/>
      <c r="Y142" s="287"/>
    </row>
    <row r="143" spans="1:25" s="164" customFormat="1">
      <c r="A143" s="159"/>
      <c r="C143" s="159"/>
      <c r="D143" s="261" t="s">
        <v>364</v>
      </c>
      <c r="E143" s="210"/>
      <c r="F143" s="159"/>
      <c r="G143" s="159"/>
      <c r="H143" s="211"/>
      <c r="I143" s="167"/>
      <c r="J143" s="159"/>
      <c r="K143" s="159"/>
      <c r="L143" s="159"/>
      <c r="M143" s="159"/>
      <c r="N143" s="159"/>
      <c r="O143" s="159"/>
      <c r="P143" s="286"/>
      <c r="Q143" s="279"/>
      <c r="R143" s="279"/>
      <c r="S143" s="279"/>
      <c r="T143" s="279"/>
      <c r="U143" s="278"/>
      <c r="V143" s="278"/>
      <c r="W143" s="278"/>
      <c r="X143" s="287"/>
      <c r="Y143" s="287"/>
    </row>
    <row r="144" spans="1:25">
      <c r="D144" s="262" t="s">
        <v>365</v>
      </c>
      <c r="Q144" s="279"/>
      <c r="R144" s="279"/>
      <c r="S144" s="279"/>
      <c r="T144" s="279"/>
    </row>
    <row r="145" spans="4:20">
      <c r="D145" s="210" t="s">
        <v>366</v>
      </c>
      <c r="Q145" s="279"/>
      <c r="R145" s="279"/>
      <c r="S145" s="279"/>
      <c r="T145" s="279"/>
    </row>
    <row r="146" spans="4:20">
      <c r="D146" s="159"/>
      <c r="Q146" s="279"/>
      <c r="R146" s="279"/>
      <c r="S146" s="279"/>
      <c r="T146" s="279"/>
    </row>
    <row r="147" spans="4:20">
      <c r="D147" s="262" t="s">
        <v>367</v>
      </c>
      <c r="Q147" s="279"/>
      <c r="R147" s="279"/>
      <c r="S147" s="279"/>
      <c r="T147" s="279"/>
    </row>
    <row r="148" spans="4:20">
      <c r="D148" s="262" t="s">
        <v>368</v>
      </c>
      <c r="Q148" s="279"/>
      <c r="R148" s="279"/>
      <c r="S148" s="279"/>
      <c r="T148" s="279"/>
    </row>
    <row r="149" spans="4:20">
      <c r="D149" s="159"/>
      <c r="Q149" s="279"/>
      <c r="R149" s="279"/>
      <c r="S149" s="279"/>
      <c r="T149" s="279"/>
    </row>
    <row r="150" spans="4:20">
      <c r="D150" s="262" t="s">
        <v>369</v>
      </c>
      <c r="Q150" s="279"/>
      <c r="R150" s="279"/>
      <c r="S150" s="279"/>
      <c r="T150" s="279"/>
    </row>
    <row r="151" spans="4:20">
      <c r="D151" s="210" t="s">
        <v>370</v>
      </c>
      <c r="Q151" s="279"/>
      <c r="R151" s="279"/>
      <c r="S151" s="279"/>
      <c r="T151" s="279"/>
    </row>
    <row r="152" spans="4:20">
      <c r="Q152" s="279"/>
      <c r="R152" s="279"/>
      <c r="S152" s="279"/>
      <c r="T152" s="279"/>
    </row>
  </sheetData>
  <sheetProtection sheet="1" autoFilter="0"/>
  <autoFilter ref="A7:AD56" xr:uid="{9B1A15B4-5073-478E-8B96-BB658F4DE1FB}"/>
  <pageMargins left="0.25" right="0.25" top="0.75" bottom="0.75" header="0.3" footer="0.3"/>
  <pageSetup scale="98" orientation="landscape" r:id="rId1"/>
  <headerFooter alignWithMargins="0"/>
  <rowBreaks count="1" manualBreakCount="1">
    <brk id="86" max="16383"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277C8-D646-4A6D-BDC8-B69300C7A3AA}">
  <sheetPr codeName="Sheet11"/>
  <dimension ref="A1:AD30"/>
  <sheetViews>
    <sheetView workbookViewId="0">
      <selection activeCell="D8" sqref="D8"/>
    </sheetView>
  </sheetViews>
  <sheetFormatPr defaultColWidth="9.140625" defaultRowHeight="15"/>
  <cols>
    <col min="1" max="1" width="9.140625" style="353"/>
    <col min="2" max="2" width="5.7109375" style="353" bestFit="1" customWidth="1"/>
    <col min="3" max="3" width="10" style="353" bestFit="1" customWidth="1"/>
    <col min="4" max="4" width="10" style="353" customWidth="1"/>
    <col min="5" max="5" width="14.28515625" style="353" bestFit="1" customWidth="1"/>
    <col min="6" max="6" width="11.140625" style="353" bestFit="1" customWidth="1"/>
    <col min="7" max="7" width="1.7109375" style="357" customWidth="1"/>
    <col min="8" max="11" width="9.28515625" style="354" customWidth="1"/>
    <col min="12" max="12" width="1.7109375" style="365" customWidth="1"/>
    <col min="13" max="13" width="16.85546875" style="354" bestFit="1" customWidth="1"/>
    <col min="14" max="14" width="19.140625" style="354" bestFit="1" customWidth="1"/>
    <col min="15" max="15" width="14.7109375" style="354" bestFit="1" customWidth="1"/>
    <col min="16" max="16" width="1.7109375" style="357" customWidth="1"/>
    <col min="17" max="21" width="9.28515625" style="353" customWidth="1"/>
    <col min="22" max="22" width="1.7109375" style="352" customWidth="1"/>
    <col min="23" max="26" width="9.140625" style="352"/>
    <col min="27" max="27" width="1.7109375" style="352" customWidth="1"/>
    <col min="28" max="16384" width="9.140625" style="352"/>
  </cols>
  <sheetData>
    <row r="1" spans="1:30">
      <c r="A1" s="367" t="s">
        <v>121</v>
      </c>
      <c r="H1" s="656" t="s">
        <v>471</v>
      </c>
      <c r="I1" s="656"/>
      <c r="J1" s="656"/>
      <c r="K1" s="656"/>
      <c r="L1" s="364"/>
      <c r="M1" s="656" t="s">
        <v>472</v>
      </c>
      <c r="N1" s="656"/>
      <c r="O1" s="656"/>
      <c r="Q1" s="655" t="s">
        <v>473</v>
      </c>
      <c r="R1" s="655"/>
      <c r="S1" s="655"/>
      <c r="T1" s="655"/>
      <c r="U1" s="655"/>
      <c r="W1" s="655" t="s">
        <v>474</v>
      </c>
      <c r="X1" s="655"/>
      <c r="Y1" s="655"/>
      <c r="Z1" s="655"/>
      <c r="AB1" s="655" t="s">
        <v>475</v>
      </c>
      <c r="AC1" s="655"/>
      <c r="AD1" s="655"/>
    </row>
    <row r="2" spans="1:30">
      <c r="A2" s="361" t="s">
        <v>476</v>
      </c>
      <c r="B2" s="361" t="s">
        <v>477</v>
      </c>
      <c r="C2" s="361" t="s">
        <v>478</v>
      </c>
      <c r="D2" s="361" t="s">
        <v>479</v>
      </c>
      <c r="E2" s="368" t="s">
        <v>479</v>
      </c>
      <c r="F2" s="376" t="s">
        <v>480</v>
      </c>
      <c r="H2" s="356" t="s">
        <v>154</v>
      </c>
      <c r="I2" s="356" t="s">
        <v>156</v>
      </c>
      <c r="J2" s="356" t="s">
        <v>158</v>
      </c>
      <c r="K2" s="356" t="s">
        <v>170</v>
      </c>
      <c r="L2" s="366"/>
      <c r="M2" s="356" t="s">
        <v>481</v>
      </c>
      <c r="N2" s="356" t="s">
        <v>482</v>
      </c>
      <c r="O2" s="356" t="s">
        <v>483</v>
      </c>
      <c r="P2" s="360"/>
      <c r="Q2" s="355" t="s">
        <v>154</v>
      </c>
      <c r="R2" s="355" t="s">
        <v>156</v>
      </c>
      <c r="S2" s="355" t="s">
        <v>158</v>
      </c>
      <c r="T2" s="355" t="s">
        <v>170</v>
      </c>
      <c r="U2" s="355" t="s">
        <v>441</v>
      </c>
      <c r="W2" s="355" t="s">
        <v>154</v>
      </c>
      <c r="X2" s="355" t="s">
        <v>156</v>
      </c>
      <c r="Y2" s="355" t="s">
        <v>158</v>
      </c>
      <c r="Z2" s="355" t="s">
        <v>170</v>
      </c>
      <c r="AB2" s="361" t="s">
        <v>484</v>
      </c>
      <c r="AC2" s="361" t="s">
        <v>485</v>
      </c>
      <c r="AD2" s="361" t="s">
        <v>486</v>
      </c>
    </row>
    <row r="3" spans="1:30" ht="75">
      <c r="A3" s="362"/>
      <c r="B3" s="362"/>
      <c r="C3" s="362"/>
      <c r="D3" s="362"/>
      <c r="E3" s="362"/>
      <c r="F3" s="362"/>
      <c r="H3" s="358">
        <v>3</v>
      </c>
      <c r="I3" s="358">
        <f>H3+1</f>
        <v>4</v>
      </c>
      <c r="J3" s="358">
        <f t="shared" ref="J3:K3" si="0">I3+1</f>
        <v>5</v>
      </c>
      <c r="K3" s="358">
        <f t="shared" si="0"/>
        <v>6</v>
      </c>
      <c r="L3" s="358"/>
      <c r="M3" s="358"/>
      <c r="N3" s="358"/>
      <c r="O3" s="358"/>
      <c r="Q3" s="359" t="s">
        <v>487</v>
      </c>
      <c r="R3" s="359" t="s">
        <v>488</v>
      </c>
      <c r="S3" s="359" t="s">
        <v>489</v>
      </c>
      <c r="T3" s="359" t="s">
        <v>490</v>
      </c>
      <c r="U3" s="359" t="s">
        <v>491</v>
      </c>
      <c r="AB3" s="353"/>
      <c r="AC3" s="353"/>
      <c r="AD3" s="353"/>
    </row>
    <row r="4" spans="1:30">
      <c r="A4" s="369">
        <v>2023</v>
      </c>
      <c r="B4" s="369"/>
      <c r="C4" s="369"/>
      <c r="D4" s="369"/>
      <c r="E4" s="369"/>
      <c r="F4" s="370"/>
      <c r="G4" s="371"/>
      <c r="H4" s="370">
        <f>VLOOKUP(PWSWIJC,Rates2023,H$3,0)</f>
        <v>27.562999999999999</v>
      </c>
      <c r="I4" s="370">
        <f>VLOOKUP(PWSWIJC,Rates2023,I$3,0)</f>
        <v>28.428999999999998</v>
      </c>
      <c r="J4" s="370">
        <f>VLOOKUP(PWSWIJC,Rates2023,J$3,0)</f>
        <v>29.321999999999999</v>
      </c>
      <c r="K4" s="370">
        <f>VLOOKUP(PWSWIJC,Rates2023,K$3,0)</f>
        <v>30.241</v>
      </c>
      <c r="L4" s="372"/>
      <c r="M4" s="370">
        <f>K4-AC4</f>
        <v>-4.4577500000000043</v>
      </c>
      <c r="N4" s="370">
        <f>U4-K4</f>
        <v>3.4185840406104262</v>
      </c>
      <c r="O4" s="370">
        <f>W4-K4</f>
        <v>3.4185840406104262</v>
      </c>
      <c r="P4" s="372"/>
      <c r="Q4" s="373">
        <v>30.174851552189818</v>
      </c>
      <c r="R4" s="373">
        <v>31.210777301884526</v>
      </c>
      <c r="S4" s="373">
        <v>32.02704621479316</v>
      </c>
      <c r="T4" s="373">
        <v>32.843315127701793</v>
      </c>
      <c r="U4" s="373">
        <v>33.659584040610426</v>
      </c>
      <c r="V4" s="374"/>
      <c r="W4" s="370">
        <v>33.659584040610426</v>
      </c>
      <c r="X4" s="370"/>
      <c r="Y4" s="370"/>
      <c r="Z4" s="370"/>
      <c r="AA4" s="374"/>
      <c r="AB4" s="375">
        <v>36.525000000000006</v>
      </c>
      <c r="AC4" s="370">
        <f>AB4*0.95</f>
        <v>34.698750000000004</v>
      </c>
      <c r="AD4" s="369"/>
    </row>
    <row r="5" spans="1:30">
      <c r="A5" s="353">
        <v>2024</v>
      </c>
      <c r="B5" s="363" t="e">
        <f>PercIncr2024-'Compare to PWSW2 Apprentice'!C5-1</f>
        <v>#REF!</v>
      </c>
      <c r="C5" s="363">
        <v>0.01</v>
      </c>
      <c r="D5" s="363" t="e">
        <f>MktAdj2024-1</f>
        <v>#REF!</v>
      </c>
      <c r="E5" s="657" t="e">
        <f>PSWSIMktAdj-1</f>
        <v>#REF!</v>
      </c>
      <c r="F5" s="354" t="e">
        <f>PWSWIIncr2024</f>
        <v>#REF!</v>
      </c>
      <c r="H5" s="354" t="str">
        <f>VLOOKUP(PWSWIJC,Rates2024,H$3,0)</f>
        <v>26</v>
      </c>
      <c r="I5" s="354">
        <f>VLOOKUP(PWSWIJC,Rates2024,I$3,0)</f>
        <v>33.795165403999995</v>
      </c>
      <c r="J5" s="354">
        <f>VLOOKUP(PWSWIJC,Rates2024,J$3,0)</f>
        <v>34.745745891999995</v>
      </c>
      <c r="K5" s="354">
        <f>VLOOKUP(PWSWIJC,Rates2024,K$3,0)</f>
        <v>35.725963415999999</v>
      </c>
      <c r="M5" s="365">
        <f t="shared" ref="M5:M7" si="1">K5-AC5</f>
        <v>-0.18724283400000274</v>
      </c>
      <c r="N5" s="365">
        <f t="shared" ref="N5:N7" si="2">U5-K5</f>
        <v>1.0158019064378934</v>
      </c>
      <c r="O5" s="365">
        <f t="shared" ref="O5:O7" si="3">W5-K5</f>
        <v>1.0158019064378934</v>
      </c>
      <c r="P5" s="365"/>
      <c r="Q5" s="354">
        <v>33.100219872038359</v>
      </c>
      <c r="R5" s="354">
        <v>34.182762280469326</v>
      </c>
      <c r="S5" s="354">
        <v>35.035763294458846</v>
      </c>
      <c r="T5" s="354">
        <v>35.888764308448373</v>
      </c>
      <c r="U5" s="354">
        <v>36.741765322437892</v>
      </c>
      <c r="W5" s="354">
        <v>36.741765322437892</v>
      </c>
      <c r="X5" s="354">
        <v>37.84401828211103</v>
      </c>
      <c r="Y5" s="354"/>
      <c r="Z5" s="354"/>
      <c r="AB5" s="354">
        <f>AB4*$AD$5</f>
        <v>37.803375000000003</v>
      </c>
      <c r="AC5" s="354">
        <f t="shared" ref="AC5:AC7" si="4">AB5*0.95</f>
        <v>35.913206250000002</v>
      </c>
      <c r="AD5" s="363">
        <v>1.0349999999999999</v>
      </c>
    </row>
    <row r="6" spans="1:30">
      <c r="A6" s="353">
        <v>2025</v>
      </c>
      <c r="B6" s="657" t="e">
        <f>PercIncr2025-1</f>
        <v>#REF!</v>
      </c>
      <c r="F6" s="354" t="e">
        <f>PWSWIIncr2025</f>
        <v>#REF!</v>
      </c>
      <c r="H6" s="354" t="str">
        <f>VLOOKUP(PWSWIJC,Rates2025,H$3,0)</f>
        <v>26</v>
      </c>
      <c r="I6" s="354">
        <f>VLOOKUP(PWSWIJC,Rates2025,I$3,0)</f>
        <v>35.665044539099995</v>
      </c>
      <c r="J6" s="354">
        <f>VLOOKUP(PWSWIJC,Rates2025,J$3,0)</f>
        <v>36.639389539299991</v>
      </c>
      <c r="K6" s="354">
        <f>VLOOKUP(PWSWIJC,Rates2025,K$3,0)</f>
        <v>37.644112501399995</v>
      </c>
      <c r="M6" s="365">
        <f t="shared" si="1"/>
        <v>0.47394403264999596</v>
      </c>
      <c r="N6" s="365">
        <f t="shared" si="2"/>
        <v>1.6196954098838034E-2</v>
      </c>
      <c r="O6" s="365">
        <f t="shared" si="3"/>
        <v>1.6196954098838034E-2</v>
      </c>
      <c r="Q6" s="354">
        <v>33.927725368839312</v>
      </c>
      <c r="R6" s="354">
        <v>35.037331337481056</v>
      </c>
      <c r="S6" s="354">
        <v>35.911657376820315</v>
      </c>
      <c r="T6" s="354">
        <v>36.785983416159581</v>
      </c>
      <c r="U6" s="354">
        <v>37.660309455498833</v>
      </c>
      <c r="W6" s="354">
        <v>37.660309455498833</v>
      </c>
      <c r="X6" s="354">
        <v>38.790118739163802</v>
      </c>
      <c r="Y6" s="354">
        <v>39.953822301338718</v>
      </c>
      <c r="Z6" s="354"/>
      <c r="AB6" s="354">
        <f t="shared" ref="AB6:AB7" si="5">AB5*$AD$5</f>
        <v>39.126493125000003</v>
      </c>
      <c r="AC6" s="354">
        <f t="shared" si="4"/>
        <v>37.170168468749999</v>
      </c>
      <c r="AD6" s="363">
        <v>1.03</v>
      </c>
    </row>
    <row r="7" spans="1:30">
      <c r="A7" s="353">
        <v>2026</v>
      </c>
      <c r="B7" s="657" t="e">
        <f>PercIncr2026-1</f>
        <v>#REF!</v>
      </c>
      <c r="F7" s="354" t="e">
        <f>PWSWIIncr2026</f>
        <v>#REF!</v>
      </c>
      <c r="H7" s="354" t="str">
        <f>VLOOKUP(PWSWIJC,Rates2026,H$3,0)</f>
        <v>26</v>
      </c>
      <c r="I7" s="354">
        <f>VLOOKUP(PWSWIJC,Rates2026,I$3,0)</f>
        <v>37.581670652577493</v>
      </c>
      <c r="J7" s="354">
        <f>VLOOKUP(PWSWIJC,Rates2026,J$3,0)</f>
        <v>38.580374277782489</v>
      </c>
      <c r="K7" s="354">
        <f>VLOOKUP(PWSWIJC,Rates2026,K$3,0)</f>
        <v>39.610215313934994</v>
      </c>
      <c r="M7" s="365">
        <f t="shared" si="1"/>
        <v>1.1390909487787511</v>
      </c>
      <c r="N7" s="365">
        <f t="shared" si="2"/>
        <v>-1.0083981220486962</v>
      </c>
      <c r="O7" s="365">
        <f t="shared" si="3"/>
        <v>-1.0083981220486962</v>
      </c>
      <c r="Q7" s="354">
        <v>34.775918503060289</v>
      </c>
      <c r="R7" s="354">
        <v>35.913264620918078</v>
      </c>
      <c r="S7" s="354">
        <v>36.80944881124082</v>
      </c>
      <c r="T7" s="354">
        <v>37.705633001563569</v>
      </c>
      <c r="U7" s="354">
        <v>38.601817191886298</v>
      </c>
      <c r="W7" s="354">
        <v>38.601817191886298</v>
      </c>
      <c r="X7" s="354">
        <v>39.759871707642894</v>
      </c>
      <c r="Y7" s="354">
        <v>40.952667858872182</v>
      </c>
      <c r="Z7" s="354">
        <v>42.181247894638346</v>
      </c>
      <c r="AB7" s="354">
        <f t="shared" si="5"/>
        <v>40.495920384374998</v>
      </c>
      <c r="AC7" s="354">
        <f t="shared" si="4"/>
        <v>38.471124365156243</v>
      </c>
      <c r="AD7" s="363">
        <v>1.03</v>
      </c>
    </row>
    <row r="13" spans="1:30">
      <c r="A13" s="353">
        <v>1.74</v>
      </c>
      <c r="H13" s="656" t="s">
        <v>492</v>
      </c>
      <c r="I13" s="656"/>
      <c r="J13" s="656"/>
      <c r="K13" s="656"/>
    </row>
    <row r="14" spans="1:30">
      <c r="H14" s="356" t="s">
        <v>154</v>
      </c>
      <c r="I14" s="356" t="s">
        <v>156</v>
      </c>
      <c r="J14" s="356" t="s">
        <v>158</v>
      </c>
      <c r="K14" s="356" t="s">
        <v>170</v>
      </c>
    </row>
    <row r="15" spans="1:30">
      <c r="A15" s="361" t="s">
        <v>476</v>
      </c>
      <c r="B15" s="361" t="s">
        <v>477</v>
      </c>
      <c r="C15" s="361" t="s">
        <v>478</v>
      </c>
      <c r="D15" s="361" t="s">
        <v>479</v>
      </c>
      <c r="E15" s="368" t="s">
        <v>479</v>
      </c>
      <c r="F15" s="376" t="s">
        <v>480</v>
      </c>
      <c r="H15" s="358">
        <v>3</v>
      </c>
      <c r="I15" s="358">
        <f>H15+1</f>
        <v>4</v>
      </c>
      <c r="J15" s="358">
        <f t="shared" ref="J15" si="6">I15+1</f>
        <v>5</v>
      </c>
      <c r="K15" s="358">
        <f t="shared" ref="K15" si="7">J15+1</f>
        <v>6</v>
      </c>
    </row>
    <row r="16" spans="1:30">
      <c r="A16" s="369">
        <v>2023</v>
      </c>
      <c r="B16" s="369"/>
      <c r="C16" s="369"/>
      <c r="D16" s="369"/>
      <c r="E16" s="369"/>
      <c r="F16" s="370"/>
      <c r="H16" s="370">
        <f>VLOOKUP(PWSWIJC,Rates2023,H$3,0)</f>
        <v>27.562999999999999</v>
      </c>
      <c r="I16" s="370">
        <f>VLOOKUP(PWSWIJC,Rates2023,I$3,0)</f>
        <v>28.428999999999998</v>
      </c>
      <c r="J16" s="370">
        <f>VLOOKUP(PWSWIJC,Rates2023,J$3,0)</f>
        <v>29.321999999999999</v>
      </c>
      <c r="K16" s="370">
        <f>VLOOKUP(PWSWIJC,Rates2023,K$3,0)</f>
        <v>30.241</v>
      </c>
    </row>
    <row r="17" spans="1:13">
      <c r="A17" s="353">
        <v>2024</v>
      </c>
      <c r="B17" s="363">
        <v>4.544999999999999E-2</v>
      </c>
      <c r="C17" s="363">
        <v>0.01</v>
      </c>
      <c r="D17" s="363">
        <v>4.0000000000000036E-2</v>
      </c>
      <c r="E17" s="657"/>
      <c r="F17" s="354">
        <v>1</v>
      </c>
      <c r="H17" s="354">
        <f>(((H16+LIUNA)*(1+COLA2024)*(1+Equity2024)*(1+MarketAdj2024))+PWSWIAdj2024)-LIUNA</f>
        <v>31.438816346040003</v>
      </c>
      <c r="I17" s="354">
        <f>(((I16+LIUNA)*(1+COLA2024)*(1+Equity2024)*(1+MarketAdj2024))+PWSWIAdj2024)-LIUNA</f>
        <v>32.389806174919997</v>
      </c>
      <c r="J17" s="354">
        <f>(((J16+LIUNA)*(1+COLA2024)*(1+Equity2024)*(1+MarketAdj2024))+PWSWIAdj2024)-LIUNA</f>
        <v>33.370445802159999</v>
      </c>
      <c r="K17" s="354">
        <f>(((K16+LIUNA)*(1+COLA2024)*(1+Equity2024)*(1+MarketAdj2024))+PWSWIAdj2024)-LIUNA</f>
        <v>34.379637087079999</v>
      </c>
    </row>
    <row r="18" spans="1:13">
      <c r="A18" s="353">
        <v>2025</v>
      </c>
      <c r="B18" s="657">
        <v>2.5000000000000001E-2</v>
      </c>
      <c r="F18" s="354">
        <v>0</v>
      </c>
      <c r="H18" s="354">
        <f>((H17+LIUNA)*(1+COLA2025))-LIUNA</f>
        <v>32.268286754690997</v>
      </c>
      <c r="I18" s="354">
        <f>((I17+LIUNA)*(1+COLA2025))-LIUNA</f>
        <v>33.243051329292996</v>
      </c>
      <c r="J18" s="354">
        <f>((J17+LIUNA)*(1+COLA2025))-LIUNA</f>
        <v>34.248206947213994</v>
      </c>
      <c r="K18" s="354">
        <f>((K17+LIUNA)*(1+COLA2025))-LIUNA</f>
        <v>35.282628014256993</v>
      </c>
      <c r="M18" s="380" t="s">
        <v>493</v>
      </c>
    </row>
    <row r="19" spans="1:13">
      <c r="A19" s="353">
        <v>2026</v>
      </c>
      <c r="B19" s="657">
        <v>2.5000000000000001E-2</v>
      </c>
      <c r="F19" s="354">
        <v>0</v>
      </c>
      <c r="H19" s="354">
        <f>((H18+LIUNA)*(1+COLA2026))-LIUNA</f>
        <v>33.118493923558269</v>
      </c>
      <c r="I19" s="354">
        <f>((I18+LIUNA)*(1+COLA2026))-LIUNA</f>
        <v>34.117627612525318</v>
      </c>
      <c r="J19" s="354">
        <f>((J18+LIUNA)*(1+COLA2026))-LIUNA</f>
        <v>35.14791212089434</v>
      </c>
      <c r="K19" s="354">
        <f>((K18+LIUNA)*(1+COLA2026))-LIUNA</f>
        <v>36.208193714613415</v>
      </c>
      <c r="M19" s="658">
        <f>(K19-K16)/K19</f>
        <v>0.16480230308216373</v>
      </c>
    </row>
    <row r="21" spans="1:13">
      <c r="E21" s="655" t="s">
        <v>494</v>
      </c>
      <c r="F21" s="655"/>
      <c r="G21" s="655"/>
      <c r="H21" s="655"/>
      <c r="I21" s="655"/>
      <c r="J21" s="655"/>
      <c r="K21" s="655"/>
    </row>
    <row r="22" spans="1:13">
      <c r="F22" s="377" t="s">
        <v>495</v>
      </c>
      <c r="H22" s="354">
        <f>H16+6.25</f>
        <v>33.813000000000002</v>
      </c>
      <c r="I22" s="354">
        <f t="shared" ref="I22:K22" si="8">I16+6.25</f>
        <v>34.679000000000002</v>
      </c>
      <c r="J22" s="354">
        <f t="shared" si="8"/>
        <v>35.572000000000003</v>
      </c>
      <c r="K22" s="354">
        <f t="shared" si="8"/>
        <v>36.491</v>
      </c>
    </row>
    <row r="23" spans="1:13">
      <c r="F23" s="378" t="s">
        <v>496</v>
      </c>
      <c r="H23" s="354">
        <f>H22*1.045</f>
        <v>35.334584999999997</v>
      </c>
      <c r="I23" s="354">
        <f t="shared" ref="I23:K23" si="9">I22*1.045</f>
        <v>36.239555000000003</v>
      </c>
      <c r="J23" s="354">
        <f t="shared" si="9"/>
        <v>37.172739999999997</v>
      </c>
      <c r="K23" s="354">
        <f t="shared" si="9"/>
        <v>38.133094999999997</v>
      </c>
    </row>
    <row r="24" spans="1:13">
      <c r="E24" s="379" t="s">
        <v>497</v>
      </c>
      <c r="F24" s="378" t="s">
        <v>498</v>
      </c>
      <c r="H24" s="354">
        <f>H23*101%</f>
        <v>35.687930850000001</v>
      </c>
      <c r="I24" s="354">
        <f t="shared" ref="I24:K24" si="10">I23*101%</f>
        <v>36.601950550000005</v>
      </c>
      <c r="J24" s="354">
        <f t="shared" si="10"/>
        <v>37.544467399999995</v>
      </c>
      <c r="K24" s="354">
        <f t="shared" si="10"/>
        <v>38.514425949999996</v>
      </c>
    </row>
    <row r="26" spans="1:13">
      <c r="E26" s="379" t="s">
        <v>499</v>
      </c>
      <c r="F26" s="377" t="s">
        <v>500</v>
      </c>
      <c r="H26" s="354">
        <f>H24*1.025</f>
        <v>36.580129121249996</v>
      </c>
      <c r="I26" s="354">
        <f t="shared" ref="I26:K26" si="11">I24*1.025</f>
        <v>37.516999313749999</v>
      </c>
      <c r="J26" s="354">
        <f t="shared" si="11"/>
        <v>38.483079084999993</v>
      </c>
      <c r="K26" s="354">
        <f t="shared" si="11"/>
        <v>39.477286598749991</v>
      </c>
    </row>
    <row r="28" spans="1:13">
      <c r="E28" s="379" t="s">
        <v>501</v>
      </c>
      <c r="F28" s="377" t="s">
        <v>500</v>
      </c>
      <c r="H28" s="354">
        <f>H26*1.025</f>
        <v>37.49463234928124</v>
      </c>
      <c r="I28" s="354">
        <f t="shared" ref="I28:K28" si="12">I26*1.025</f>
        <v>38.454924296593745</v>
      </c>
      <c r="J28" s="354">
        <f t="shared" si="12"/>
        <v>39.445156062124987</v>
      </c>
      <c r="K28" s="354">
        <f t="shared" si="12"/>
        <v>40.46421876371874</v>
      </c>
    </row>
    <row r="29" spans="1:13">
      <c r="K29" s="354">
        <f>K28-K16</f>
        <v>10.223218763718741</v>
      </c>
    </row>
    <row r="30" spans="1:13">
      <c r="K30" s="659">
        <f>K29/K16</f>
        <v>0.33805822438804078</v>
      </c>
    </row>
  </sheetData>
  <mergeCells count="7">
    <mergeCell ref="AB1:AD1"/>
    <mergeCell ref="M1:O1"/>
    <mergeCell ref="H13:K13"/>
    <mergeCell ref="E21:K21"/>
    <mergeCell ref="H1:K1"/>
    <mergeCell ref="Q1:U1"/>
    <mergeCell ref="W1:Z1"/>
  </mergeCells>
  <pageMargins left="0.7" right="0.7" top="0.75" bottom="0.75" header="0.3" footer="0.3"/>
  <pageSetup orientation="portrait" horizontalDpi="4294967293" verticalDpi="0"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C6A40-A43C-4532-9789-88133D8BA047}">
  <sheetPr codeName="Sheet12">
    <tabColor theme="1"/>
  </sheetPr>
  <dimension ref="A1:AA159"/>
  <sheetViews>
    <sheetView showGridLines="0" topLeftCell="G1" zoomScale="86" zoomScaleNormal="86" workbookViewId="0">
      <selection activeCell="V23" sqref="V23"/>
    </sheetView>
  </sheetViews>
  <sheetFormatPr defaultColWidth="9.140625" defaultRowHeight="15"/>
  <cols>
    <col min="1" max="1" width="6.42578125" style="159" customWidth="1"/>
    <col min="2" max="2" width="7.5703125" style="159" customWidth="1"/>
    <col min="3" max="3" width="10.85546875" style="159" customWidth="1"/>
    <col min="4" max="4" width="11.140625" style="210" customWidth="1"/>
    <col min="5" max="5" width="12.28515625" style="210" customWidth="1"/>
    <col min="6" max="6" width="37.28515625" style="159" customWidth="1"/>
    <col min="7" max="7" width="10.140625" style="159" customWidth="1"/>
    <col min="8" max="8" width="64.7109375" style="211" customWidth="1"/>
    <col min="9" max="12" width="9.5703125" style="159" customWidth="1"/>
    <col min="13" max="13" width="14.140625" style="159" customWidth="1"/>
    <col min="14" max="14" width="9.5703125" style="159" customWidth="1"/>
    <col min="15" max="15" width="12.28515625" style="159" bestFit="1" customWidth="1"/>
    <col min="16" max="16" width="13.5703125" style="279" bestFit="1" customWidth="1"/>
    <col min="17" max="17" width="14.5703125" style="289" bestFit="1" customWidth="1"/>
    <col min="18" max="18" width="60.42578125" style="426" bestFit="1" customWidth="1"/>
    <col min="19" max="19" width="12.28515625" style="286" bestFit="1" customWidth="1"/>
    <col min="20" max="25" width="12.28515625" style="279" bestFit="1" customWidth="1"/>
    <col min="26" max="26" width="3.42578125" style="159" bestFit="1" customWidth="1"/>
    <col min="27" max="27" width="12.140625" style="159" bestFit="1" customWidth="1"/>
    <col min="28" max="28" width="0" style="159" hidden="1" customWidth="1"/>
    <col min="29" max="16384" width="9.140625" style="159"/>
  </cols>
  <sheetData>
    <row r="1" spans="1:27">
      <c r="A1" s="209" t="s">
        <v>316</v>
      </c>
      <c r="P1" s="279" t="s">
        <v>502</v>
      </c>
      <c r="Q1" s="424">
        <v>1.0249999999999999</v>
      </c>
      <c r="R1" s="425"/>
    </row>
    <row r="2" spans="1:27">
      <c r="A2" s="212" t="s">
        <v>0</v>
      </c>
      <c r="D2" s="159"/>
      <c r="E2" s="211"/>
      <c r="F2" s="162"/>
      <c r="G2" s="162"/>
      <c r="H2" s="162"/>
      <c r="I2" s="162"/>
      <c r="J2" s="162"/>
      <c r="K2" s="162"/>
      <c r="P2" s="279" t="s">
        <v>503</v>
      </c>
      <c r="Q2" s="322">
        <v>1.74</v>
      </c>
      <c r="S2" s="322"/>
    </row>
    <row r="3" spans="1:27">
      <c r="A3" s="212" t="s">
        <v>504</v>
      </c>
      <c r="D3" s="209"/>
      <c r="E3" s="211"/>
      <c r="F3" s="213"/>
      <c r="G3" s="213"/>
      <c r="H3" s="213"/>
      <c r="I3" s="213"/>
      <c r="J3" s="213"/>
      <c r="K3" s="213"/>
      <c r="S3" s="322"/>
    </row>
    <row r="4" spans="1:27">
      <c r="A4" s="159" t="s">
        <v>467</v>
      </c>
      <c r="S4" s="322"/>
      <c r="T4" s="427"/>
    </row>
    <row r="5" spans="1:27">
      <c r="A5" s="159" t="s">
        <v>318</v>
      </c>
    </row>
    <row r="6" spans="1:27">
      <c r="Q6" s="428">
        <v>1</v>
      </c>
      <c r="R6" s="428">
        <f>Q6+1</f>
        <v>2</v>
      </c>
      <c r="S6" s="428">
        <f t="shared" ref="S6:Y6" si="0">R6+1</f>
        <v>3</v>
      </c>
      <c r="T6" s="428">
        <f t="shared" si="0"/>
        <v>4</v>
      </c>
      <c r="U6" s="428">
        <f t="shared" si="0"/>
        <v>5</v>
      </c>
      <c r="V6" s="428">
        <f t="shared" si="0"/>
        <v>6</v>
      </c>
      <c r="W6" s="428">
        <f t="shared" si="0"/>
        <v>7</v>
      </c>
      <c r="X6" s="428">
        <f t="shared" si="0"/>
        <v>8</v>
      </c>
      <c r="Y6" s="428">
        <f t="shared" si="0"/>
        <v>9</v>
      </c>
      <c r="Z6" s="159">
        <v>10</v>
      </c>
    </row>
    <row r="7" spans="1:27" ht="30">
      <c r="A7" s="215" t="s">
        <v>373</v>
      </c>
      <c r="B7" s="216" t="s">
        <v>2</v>
      </c>
      <c r="C7" s="216" t="s">
        <v>374</v>
      </c>
      <c r="D7" s="216" t="s">
        <v>375</v>
      </c>
      <c r="E7" s="215" t="s">
        <v>376</v>
      </c>
      <c r="F7" s="216" t="s">
        <v>439</v>
      </c>
      <c r="G7" s="216" t="s">
        <v>7</v>
      </c>
      <c r="H7" s="217" t="s">
        <v>440</v>
      </c>
      <c r="I7" s="213" t="s">
        <v>154</v>
      </c>
      <c r="J7" s="213" t="s">
        <v>156</v>
      </c>
      <c r="K7" s="213" t="s">
        <v>158</v>
      </c>
      <c r="L7" s="213" t="s">
        <v>170</v>
      </c>
      <c r="M7" s="213" t="s">
        <v>441</v>
      </c>
      <c r="N7" s="213" t="s">
        <v>442</v>
      </c>
      <c r="O7" s="213" t="s">
        <v>443</v>
      </c>
      <c r="P7" s="286" t="s">
        <v>444</v>
      </c>
      <c r="Q7" s="281" t="s">
        <v>7</v>
      </c>
      <c r="R7" s="282" t="s">
        <v>440</v>
      </c>
      <c r="S7" s="283" t="s">
        <v>154</v>
      </c>
      <c r="T7" s="283" t="s">
        <v>156</v>
      </c>
      <c r="U7" s="283" t="s">
        <v>158</v>
      </c>
      <c r="V7" s="283" t="s">
        <v>170</v>
      </c>
      <c r="W7" s="283" t="s">
        <v>441</v>
      </c>
      <c r="X7" s="283" t="s">
        <v>442</v>
      </c>
      <c r="Y7" s="283" t="s">
        <v>443</v>
      </c>
      <c r="AA7" s="159" t="s">
        <v>505</v>
      </c>
    </row>
    <row r="8" spans="1:27">
      <c r="A8" s="219">
        <v>15</v>
      </c>
      <c r="B8" s="162">
        <v>228</v>
      </c>
      <c r="C8" s="162">
        <v>5</v>
      </c>
      <c r="D8" s="162" t="s">
        <v>17</v>
      </c>
      <c r="E8" s="162" t="s">
        <v>18</v>
      </c>
      <c r="F8" s="219">
        <v>15</v>
      </c>
      <c r="G8" s="162" t="s">
        <v>45</v>
      </c>
      <c r="H8" s="211" t="s">
        <v>46</v>
      </c>
      <c r="I8" s="269">
        <f>S8</f>
        <v>31.86</v>
      </c>
      <c r="J8" s="269">
        <f t="shared" ref="J8:L8" si="1">T8</f>
        <v>0</v>
      </c>
      <c r="K8" s="269">
        <f t="shared" si="1"/>
        <v>0</v>
      </c>
      <c r="L8" s="269">
        <f t="shared" si="1"/>
        <v>0</v>
      </c>
      <c r="M8" s="269"/>
      <c r="N8" s="269"/>
      <c r="O8" s="220"/>
      <c r="P8" s="286" t="s">
        <v>445</v>
      </c>
      <c r="Q8" s="286" t="str">
        <f t="shared" ref="Q8:Q55" si="2">G8</f>
        <v>00500C</v>
      </c>
      <c r="R8" s="348" t="str">
        <f t="shared" ref="R8:R55" si="3">H8</f>
        <v>Asphalt Raker</v>
      </c>
      <c r="S8" s="322">
        <f>ROUND(IF($P8="Y",((VLOOKUP($Q8,Rates2022,3,0)+LIUNA2023)*PercIncr2023)-LIUNA2023,VLOOKUP($Q8,Rates2022,3,0)),3)</f>
        <v>31.86</v>
      </c>
      <c r="T8" s="429"/>
      <c r="U8" s="429"/>
      <c r="V8" s="429"/>
      <c r="W8" s="284"/>
      <c r="X8" s="284"/>
      <c r="Y8" s="284"/>
      <c r="Z8" s="159">
        <f>COUNT(S8:Y8)</f>
        <v>1</v>
      </c>
    </row>
    <row r="9" spans="1:27">
      <c r="A9" s="219" t="s">
        <v>319</v>
      </c>
      <c r="B9" s="162">
        <v>228</v>
      </c>
      <c r="C9" s="162">
        <v>5</v>
      </c>
      <c r="D9" s="162" t="s">
        <v>17</v>
      </c>
      <c r="E9" s="162" t="s">
        <v>18</v>
      </c>
      <c r="F9" s="219" t="s">
        <v>19</v>
      </c>
      <c r="G9" s="162" t="s">
        <v>21</v>
      </c>
      <c r="H9" s="211" t="s">
        <v>22</v>
      </c>
      <c r="I9" s="269">
        <f>S9</f>
        <v>27.762</v>
      </c>
      <c r="J9" s="269">
        <f>T9</f>
        <v>28.628</v>
      </c>
      <c r="K9" s="269">
        <f>U9</f>
        <v>29.52</v>
      </c>
      <c r="L9" s="269">
        <f>V9</f>
        <v>30.44</v>
      </c>
      <c r="M9" s="269">
        <f t="shared" ref="M9" si="4">W9</f>
        <v>0</v>
      </c>
      <c r="N9" s="269">
        <f t="shared" ref="N9" si="5">X9</f>
        <v>0</v>
      </c>
      <c r="O9" s="269">
        <f t="shared" ref="O9" si="6">Y9</f>
        <v>0</v>
      </c>
      <c r="P9" s="430" t="s">
        <v>445</v>
      </c>
      <c r="Q9" s="286" t="str">
        <f t="shared" si="2"/>
        <v>00505C</v>
      </c>
      <c r="R9" s="309" t="str">
        <f t="shared" si="3"/>
        <v>Asphalt Raker Apprentice I (1st 522 hours)</v>
      </c>
      <c r="S9" s="322">
        <f>ROUND(IF($P9="Y",((VLOOKUP($Q9,Rates2022,3,0)+LIUNA2023)*PercIncr2023)-LIUNA2023,VLOOKUP($Q9,Rates2022,3,0)),3)</f>
        <v>27.762</v>
      </c>
      <c r="T9" s="284">
        <f>ROUND(IF($P9="Y",((VLOOKUP($Q9,Rates2022,4,0)+LIUNA2023)*PercIncr2023)-LIUNA2023,VLOOKUP($Q9,Rates2022,4,0)),3)</f>
        <v>28.628</v>
      </c>
      <c r="U9" s="284">
        <f>ROUND(IF($P9="Y",((VLOOKUP($Q9,Rates2022,5,0)+LIUNA2023)*PercIncr2023)-LIUNA2023,VLOOKUP($Q9,Rates2022,5,0)),3)</f>
        <v>29.52</v>
      </c>
      <c r="V9" s="284">
        <f>ROUND(IF($P9="Y",((VLOOKUP($Q9,Rates2022,6,0)+LIUNA2023)*PercIncr2023)-LIUNA2023,VLOOKUP($Q9,Rates2022,6,0)),3)</f>
        <v>30.44</v>
      </c>
      <c r="W9" s="429"/>
      <c r="X9" s="429"/>
      <c r="Y9" s="429"/>
      <c r="Z9" s="159">
        <f t="shared" ref="Z9:Z57" si="7">COUNT(S9:Y9)</f>
        <v>4</v>
      </c>
    </row>
    <row r="10" spans="1:27">
      <c r="A10" s="219" t="s">
        <v>321</v>
      </c>
      <c r="B10" s="162">
        <v>228</v>
      </c>
      <c r="C10" s="162">
        <v>5</v>
      </c>
      <c r="D10" s="162" t="s">
        <v>17</v>
      </c>
      <c r="E10" s="162" t="s">
        <v>18</v>
      </c>
      <c r="F10" s="219" t="s">
        <v>19</v>
      </c>
      <c r="G10" s="162" t="s">
        <v>25</v>
      </c>
      <c r="H10" s="211" t="s">
        <v>26</v>
      </c>
      <c r="I10" s="269">
        <f t="shared" ref="I10:I11" si="8">S10</f>
        <v>28.225000000000001</v>
      </c>
      <c r="J10" s="269">
        <f t="shared" ref="J10:J12" si="9">T10</f>
        <v>29.091999999999999</v>
      </c>
      <c r="K10" s="269">
        <f t="shared" ref="K10:K12" si="10">U10</f>
        <v>29.984000000000002</v>
      </c>
      <c r="L10" s="269">
        <f t="shared" ref="L10:L12" si="11">V10</f>
        <v>30.902999999999999</v>
      </c>
      <c r="M10" s="269">
        <f t="shared" ref="M10:M11" si="12">W10</f>
        <v>0</v>
      </c>
      <c r="N10" s="269">
        <f t="shared" ref="N10:N11" si="13">X10</f>
        <v>0</v>
      </c>
      <c r="O10" s="269">
        <f t="shared" ref="O10:O11" si="14">Y10</f>
        <v>0</v>
      </c>
      <c r="P10" s="430" t="s">
        <v>445</v>
      </c>
      <c r="Q10" s="286" t="str">
        <f t="shared" si="2"/>
        <v>00507C</v>
      </c>
      <c r="R10" s="309" t="str">
        <f t="shared" si="3"/>
        <v>Asphalt Raker Apprentice II (2nd 522 hours)</v>
      </c>
      <c r="S10" s="322">
        <f>ROUND(IF($P10="Y",((VLOOKUP($Q10,Rates2022,3,0)+LIUNA2023)*PercIncr2023)-LIUNA2023,VLOOKUP($Q10,Rates2022,3,0)),3)</f>
        <v>28.225000000000001</v>
      </c>
      <c r="T10" s="284">
        <f>ROUND(IF($P10="Y",((VLOOKUP($Q10,Rates2022,4,0)+LIUNA2023)*PercIncr2023)-LIUNA2023,VLOOKUP($Q10,Rates2022,4,0)),3)</f>
        <v>29.091999999999999</v>
      </c>
      <c r="U10" s="284">
        <f>ROUND(IF($P10="Y",((VLOOKUP($Q10,Rates2022,5,0)+LIUNA2023)*PercIncr2023)-LIUNA2023,VLOOKUP($Q10,Rates2022,5,0)),3)</f>
        <v>29.984000000000002</v>
      </c>
      <c r="V10" s="284">
        <f>ROUND(IF($P10="Y",((VLOOKUP($Q10,Rates2022,6,0)+LIUNA2023)*PercIncr2023)-LIUNA2023,VLOOKUP($Q10,Rates2022,6,0)),3)</f>
        <v>30.902999999999999</v>
      </c>
      <c r="W10" s="429"/>
      <c r="X10" s="429"/>
      <c r="Y10" s="429"/>
      <c r="Z10" s="159">
        <f t="shared" si="7"/>
        <v>4</v>
      </c>
    </row>
    <row r="11" spans="1:27">
      <c r="A11" s="219" t="s">
        <v>47</v>
      </c>
      <c r="B11" s="162">
        <v>178</v>
      </c>
      <c r="C11" s="162">
        <v>3</v>
      </c>
      <c r="D11" s="162" t="s">
        <v>17</v>
      </c>
      <c r="E11" s="162" t="s">
        <v>18</v>
      </c>
      <c r="F11" s="219" t="s">
        <v>47</v>
      </c>
      <c r="G11" s="162" t="s">
        <v>48</v>
      </c>
      <c r="H11" s="211" t="s">
        <v>49</v>
      </c>
      <c r="I11" s="269">
        <f t="shared" si="8"/>
        <v>16.756</v>
      </c>
      <c r="J11" s="269">
        <f t="shared" si="9"/>
        <v>19.492999999999999</v>
      </c>
      <c r="K11" s="269">
        <f t="shared" si="10"/>
        <v>20.613</v>
      </c>
      <c r="L11" s="269">
        <f t="shared" si="11"/>
        <v>25.899000000000001</v>
      </c>
      <c r="M11" s="269">
        <f t="shared" si="12"/>
        <v>0</v>
      </c>
      <c r="N11" s="269">
        <f t="shared" si="13"/>
        <v>0</v>
      </c>
      <c r="O11" s="269">
        <f t="shared" si="14"/>
        <v>0</v>
      </c>
      <c r="P11" s="286" t="s">
        <v>445</v>
      </c>
      <c r="Q11" s="286" t="str">
        <f t="shared" si="2"/>
        <v>01060C</v>
      </c>
      <c r="R11" s="309" t="str">
        <f t="shared" si="3"/>
        <v>Attendant Impound Lot</v>
      </c>
      <c r="S11" s="322">
        <f>ROUND(IF($P11="Y",((VLOOKUP($Q11,Rates2022,3,0)+LIUNA2023)*PercIncr2023)-LIUNA2023,VLOOKUP($Q11,Rates2022,3,0)),3)</f>
        <v>16.756</v>
      </c>
      <c r="T11" s="284">
        <f>ROUND(IF($P11="Y",((VLOOKUP($Q11,Rates2022,4,0)+LIUNA2023)*PercIncr2023)-LIUNA2023,VLOOKUP($Q11,Rates2022,4,0)),3)</f>
        <v>19.492999999999999</v>
      </c>
      <c r="U11" s="284">
        <f>ROUND(IF($P11="Y",((VLOOKUP($Q11,Rates2022,5,0)+LIUNA2023)*PercIncr2023)-LIUNA2023,VLOOKUP($Q11,Rates2022,5,0)),3)</f>
        <v>20.613</v>
      </c>
      <c r="V11" s="284">
        <f>ROUND(IF($P11="Y",((VLOOKUP($Q11,Rates2022,6,0)+LIUNA2023)*PercIncr2023)-LIUNA2023,VLOOKUP($Q11,Rates2022,6,0)),3)</f>
        <v>25.899000000000001</v>
      </c>
      <c r="W11" s="429"/>
      <c r="X11" s="429"/>
      <c r="Y11" s="429"/>
      <c r="Z11" s="159">
        <f t="shared" si="7"/>
        <v>4</v>
      </c>
    </row>
    <row r="12" spans="1:27">
      <c r="A12" s="219" t="s">
        <v>506</v>
      </c>
      <c r="B12" s="162">
        <v>333</v>
      </c>
      <c r="C12" s="162">
        <v>6</v>
      </c>
      <c r="D12" s="162" t="s">
        <v>17</v>
      </c>
      <c r="E12" s="162" t="s">
        <v>18</v>
      </c>
      <c r="F12" s="219">
        <v>18</v>
      </c>
      <c r="G12" s="162" t="s">
        <v>50</v>
      </c>
      <c r="H12" s="211" t="s">
        <v>51</v>
      </c>
      <c r="I12" s="269">
        <f t="shared" ref="I12:I51" si="15">S12</f>
        <v>38.720999999999997</v>
      </c>
      <c r="J12" s="269">
        <f t="shared" si="9"/>
        <v>0</v>
      </c>
      <c r="K12" s="269">
        <f t="shared" si="10"/>
        <v>0</v>
      </c>
      <c r="L12" s="269">
        <f t="shared" si="11"/>
        <v>0</v>
      </c>
      <c r="M12" s="269"/>
      <c r="N12" s="269"/>
      <c r="O12" s="220"/>
      <c r="P12" s="286" t="s">
        <v>445</v>
      </c>
      <c r="Q12" s="286" t="str">
        <f t="shared" si="2"/>
        <v>01570C</v>
      </c>
      <c r="R12" s="309" t="str">
        <f t="shared" si="3"/>
        <v>Cement Finisher Journeyman</v>
      </c>
      <c r="S12" s="431">
        <v>38.720999999999997</v>
      </c>
      <c r="T12" s="429"/>
      <c r="U12" s="429"/>
      <c r="V12" s="429"/>
      <c r="W12" s="284"/>
      <c r="X12" s="284"/>
      <c r="Y12" s="284"/>
      <c r="Z12" s="159">
        <f t="shared" si="7"/>
        <v>1</v>
      </c>
    </row>
    <row r="13" spans="1:27">
      <c r="A13" s="219" t="s">
        <v>321</v>
      </c>
      <c r="B13" s="162">
        <v>280</v>
      </c>
      <c r="C13" s="162">
        <v>6</v>
      </c>
      <c r="D13" s="162" t="s">
        <v>17</v>
      </c>
      <c r="E13" s="162" t="s">
        <v>18</v>
      </c>
      <c r="F13" s="219" t="s">
        <v>19</v>
      </c>
      <c r="G13" s="162" t="s">
        <v>31</v>
      </c>
      <c r="H13" s="211" t="s">
        <v>32</v>
      </c>
      <c r="I13" s="269">
        <f t="shared" si="15"/>
        <v>28.225000000000001</v>
      </c>
      <c r="J13" s="269">
        <f t="shared" ref="J13:J16" si="16">T13</f>
        <v>29.091999999999999</v>
      </c>
      <c r="K13" s="269">
        <f t="shared" ref="K13:K16" si="17">U13</f>
        <v>29.984000000000002</v>
      </c>
      <c r="L13" s="269">
        <f t="shared" ref="L13:L16" si="18">V13</f>
        <v>30.902999999999999</v>
      </c>
      <c r="M13" s="269">
        <f t="shared" ref="M13:M17" si="19">W13</f>
        <v>0</v>
      </c>
      <c r="N13" s="269">
        <f t="shared" ref="N13:N17" si="20">X13</f>
        <v>0</v>
      </c>
      <c r="O13" s="269">
        <f>Y13</f>
        <v>0</v>
      </c>
      <c r="P13" s="286" t="s">
        <v>445</v>
      </c>
      <c r="Q13" s="286" t="str">
        <f t="shared" si="2"/>
        <v>01585C</v>
      </c>
      <c r="R13" s="309" t="str">
        <f t="shared" si="3"/>
        <v>Cement Finisher Apprentice I (1st 174 hours)</v>
      </c>
      <c r="S13" s="322">
        <f t="shared" ref="S13:S39" si="21">ROUND(IF($P13="Y",((VLOOKUP($Q13,Rates2022,3,0)+LIUNA2023)*PercIncr2023)-LIUNA2023,VLOOKUP($Q13,Rates2022,3,0)),3)</f>
        <v>28.225000000000001</v>
      </c>
      <c r="T13" s="284">
        <f>ROUND(IF($P13="Y",((VLOOKUP($Q13,Rates2022,4,0)+LIUNA2023)*PercIncr2023)-LIUNA2023,VLOOKUP($Q13,Rates2022,4,0)),3)</f>
        <v>29.091999999999999</v>
      </c>
      <c r="U13" s="284">
        <f>ROUND(IF($P13="Y",((VLOOKUP($Q13,Rates2022,5,0)+LIUNA2023)*PercIncr2023)-LIUNA2023,VLOOKUP($Q13,Rates2022,5,0)),3)</f>
        <v>29.984000000000002</v>
      </c>
      <c r="V13" s="284">
        <f>ROUND(IF($P13="Y",((VLOOKUP($Q13,Rates2022,6,0)+LIUNA2023)*PercIncr2023)-LIUNA2023,VLOOKUP($Q13,Rates2022,6,0)),3)</f>
        <v>30.902999999999999</v>
      </c>
      <c r="W13" s="429"/>
      <c r="X13" s="429"/>
      <c r="Y13" s="429"/>
      <c r="Z13" s="159">
        <f t="shared" si="7"/>
        <v>4</v>
      </c>
    </row>
    <row r="14" spans="1:27">
      <c r="A14" s="219" t="s">
        <v>322</v>
      </c>
      <c r="B14" s="162">
        <v>280</v>
      </c>
      <c r="C14" s="162">
        <v>6</v>
      </c>
      <c r="D14" s="162" t="s">
        <v>17</v>
      </c>
      <c r="E14" s="162" t="s">
        <v>18</v>
      </c>
      <c r="F14" s="219" t="s">
        <v>19</v>
      </c>
      <c r="G14" s="162" t="s">
        <v>35</v>
      </c>
      <c r="H14" s="211" t="s">
        <v>36</v>
      </c>
      <c r="I14" s="269">
        <f t="shared" si="15"/>
        <v>28.622</v>
      </c>
      <c r="J14" s="269">
        <f t="shared" si="16"/>
        <v>29.489000000000001</v>
      </c>
      <c r="K14" s="269">
        <f t="shared" si="17"/>
        <v>30.38</v>
      </c>
      <c r="L14" s="269">
        <f t="shared" si="18"/>
        <v>31.3</v>
      </c>
      <c r="M14" s="269">
        <f t="shared" si="19"/>
        <v>0</v>
      </c>
      <c r="N14" s="269">
        <f t="shared" si="20"/>
        <v>0</v>
      </c>
      <c r="O14" s="269">
        <f>Y14</f>
        <v>0</v>
      </c>
      <c r="P14" s="286" t="s">
        <v>445</v>
      </c>
      <c r="Q14" s="286" t="str">
        <f t="shared" si="2"/>
        <v>01586C</v>
      </c>
      <c r="R14" s="309" t="str">
        <f t="shared" si="3"/>
        <v>Cement Finisher Apprentice II (Next 696 hours)</v>
      </c>
      <c r="S14" s="322">
        <f t="shared" si="21"/>
        <v>28.622</v>
      </c>
      <c r="T14" s="284">
        <f>ROUND(IF($P14="Y",((VLOOKUP($Q14,Rates2022,4,0)+LIUNA2023)*PercIncr2023)-LIUNA2023,VLOOKUP($Q14,Rates2022,4,0)),3)</f>
        <v>29.489000000000001</v>
      </c>
      <c r="U14" s="284">
        <f>ROUND(IF($P14="Y",((VLOOKUP($Q14,Rates2022,5,0)+LIUNA2023)*PercIncr2023)-LIUNA2023,VLOOKUP($Q14,Rates2022,5,0)),3)</f>
        <v>30.38</v>
      </c>
      <c r="V14" s="284">
        <f>ROUND(IF($P14="Y",((VLOOKUP($Q14,Rates2022,6,0)+LIUNA2023)*PercIncr2023)-LIUNA2023,VLOOKUP($Q14,Rates2022,6,0)),3)</f>
        <v>31.3</v>
      </c>
      <c r="W14" s="429"/>
      <c r="X14" s="429"/>
      <c r="Y14" s="429"/>
      <c r="Z14" s="159">
        <f t="shared" si="7"/>
        <v>4</v>
      </c>
    </row>
    <row r="15" spans="1:27">
      <c r="A15" s="219" t="s">
        <v>323</v>
      </c>
      <c r="B15" s="162">
        <v>280</v>
      </c>
      <c r="C15" s="162">
        <v>6</v>
      </c>
      <c r="D15" s="162" t="s">
        <v>17</v>
      </c>
      <c r="E15" s="162" t="s">
        <v>18</v>
      </c>
      <c r="F15" s="219" t="s">
        <v>19</v>
      </c>
      <c r="G15" s="162" t="s">
        <v>39</v>
      </c>
      <c r="H15" s="211" t="s">
        <v>40</v>
      </c>
      <c r="I15" s="269">
        <f t="shared" si="15"/>
        <v>29.879000000000001</v>
      </c>
      <c r="J15" s="269">
        <f t="shared" si="16"/>
        <v>30.745999999999999</v>
      </c>
      <c r="K15" s="269">
        <f t="shared" si="17"/>
        <v>31.638999999999999</v>
      </c>
      <c r="L15" s="269">
        <f t="shared" si="18"/>
        <v>32.558999999999997</v>
      </c>
      <c r="M15" s="269">
        <f t="shared" si="19"/>
        <v>0</v>
      </c>
      <c r="N15" s="269">
        <f t="shared" si="20"/>
        <v>0</v>
      </c>
      <c r="O15" s="269">
        <f>Y15</f>
        <v>0</v>
      </c>
      <c r="P15" s="286" t="s">
        <v>445</v>
      </c>
      <c r="Q15" s="286" t="str">
        <f t="shared" si="2"/>
        <v>01587C</v>
      </c>
      <c r="R15" s="309" t="str">
        <f t="shared" si="3"/>
        <v>Cement Finisher Apprentice III (Next 696 hours)</v>
      </c>
      <c r="S15" s="322">
        <f t="shared" si="21"/>
        <v>29.879000000000001</v>
      </c>
      <c r="T15" s="284">
        <f>ROUND(IF($P15="Y",((VLOOKUP($Q15,Rates2022,4,0)+LIUNA2023)*PercIncr2023)-LIUNA2023,VLOOKUP($Q15,Rates2022,4,0)),3)</f>
        <v>30.745999999999999</v>
      </c>
      <c r="U15" s="284">
        <f>ROUND(IF($P15="Y",((VLOOKUP($Q15,Rates2022,5,0)+LIUNA2023)*PercIncr2023)-LIUNA2023,VLOOKUP($Q15,Rates2022,5,0)),3)</f>
        <v>31.638999999999999</v>
      </c>
      <c r="V15" s="284">
        <f>ROUND(IF($P15="Y",((VLOOKUP($Q15,Rates2022,6,0)+LIUNA2023)*PercIncr2023)-LIUNA2023,VLOOKUP($Q15,Rates2022,6,0)),3)</f>
        <v>32.558999999999997</v>
      </c>
      <c r="W15" s="429"/>
      <c r="X15" s="429"/>
      <c r="Y15" s="429"/>
      <c r="Z15" s="159">
        <f t="shared" si="7"/>
        <v>4</v>
      </c>
    </row>
    <row r="16" spans="1:27">
      <c r="A16" s="219" t="s">
        <v>324</v>
      </c>
      <c r="B16" s="162">
        <v>280</v>
      </c>
      <c r="C16" s="162">
        <v>6</v>
      </c>
      <c r="D16" s="162" t="s">
        <v>17</v>
      </c>
      <c r="E16" s="162" t="s">
        <v>18</v>
      </c>
      <c r="F16" s="219" t="s">
        <v>19</v>
      </c>
      <c r="G16" s="162" t="s">
        <v>42</v>
      </c>
      <c r="H16" s="211" t="s">
        <v>43</v>
      </c>
      <c r="I16" s="269">
        <f t="shared" si="15"/>
        <v>30.873000000000001</v>
      </c>
      <c r="J16" s="269">
        <f t="shared" si="16"/>
        <v>31.741</v>
      </c>
      <c r="K16" s="269">
        <f t="shared" si="17"/>
        <v>32.631999999999998</v>
      </c>
      <c r="L16" s="269">
        <f t="shared" si="18"/>
        <v>33.552</v>
      </c>
      <c r="M16" s="269">
        <f t="shared" si="19"/>
        <v>0</v>
      </c>
      <c r="N16" s="269">
        <f t="shared" si="20"/>
        <v>0</v>
      </c>
      <c r="O16" s="269">
        <f>Y16</f>
        <v>0</v>
      </c>
      <c r="P16" s="286" t="s">
        <v>445</v>
      </c>
      <c r="Q16" s="286" t="str">
        <f t="shared" si="2"/>
        <v>01588C</v>
      </c>
      <c r="R16" s="309" t="str">
        <f t="shared" si="3"/>
        <v>Cement Finisher Apprentice IV (Next 696 hours)</v>
      </c>
      <c r="S16" s="322">
        <f t="shared" si="21"/>
        <v>30.873000000000001</v>
      </c>
      <c r="T16" s="284">
        <f>ROUND(IF($P16="Y",((VLOOKUP($Q16,Rates2022,4,0)+LIUNA2023)*PercIncr2023)-LIUNA2023,VLOOKUP($Q16,Rates2022,4,0)),3)</f>
        <v>31.741</v>
      </c>
      <c r="U16" s="284">
        <f>ROUND(IF($P16="Y",((VLOOKUP($Q16,Rates2022,5,0)+LIUNA2023)*PercIncr2023)-LIUNA2023,VLOOKUP($Q16,Rates2022,5,0)),3)</f>
        <v>32.631999999999998</v>
      </c>
      <c r="V16" s="284">
        <f>ROUND(IF($P16="Y",((VLOOKUP($Q16,Rates2022,6,0)+LIUNA2023)*PercIncr2023)-LIUNA2023,VLOOKUP($Q16,Rates2022,6,0)),3)</f>
        <v>33.552</v>
      </c>
      <c r="W16" s="429"/>
      <c r="X16" s="429"/>
      <c r="Y16" s="429"/>
      <c r="Z16" s="159">
        <f t="shared" si="7"/>
        <v>4</v>
      </c>
    </row>
    <row r="17" spans="1:27">
      <c r="A17" s="219" t="s">
        <v>52</v>
      </c>
      <c r="B17" s="162">
        <v>188</v>
      </c>
      <c r="C17" s="162">
        <v>4</v>
      </c>
      <c r="D17" s="162" t="s">
        <v>17</v>
      </c>
      <c r="E17" s="162" t="s">
        <v>18</v>
      </c>
      <c r="F17" s="219" t="s">
        <v>52</v>
      </c>
      <c r="G17" s="162" t="s">
        <v>53</v>
      </c>
      <c r="H17" s="211" t="s">
        <v>54</v>
      </c>
      <c r="I17" s="269">
        <f t="shared" si="15"/>
        <v>20.187000000000001</v>
      </c>
      <c r="J17" s="269">
        <f>T17</f>
        <v>23.16</v>
      </c>
      <c r="K17" s="269">
        <f>U17</f>
        <v>28.024999999999999</v>
      </c>
      <c r="L17" s="269">
        <f>V17</f>
        <v>0</v>
      </c>
      <c r="M17" s="269">
        <f t="shared" si="19"/>
        <v>0</v>
      </c>
      <c r="N17" s="269">
        <f t="shared" si="20"/>
        <v>0</v>
      </c>
      <c r="O17" s="269"/>
      <c r="P17" s="286" t="s">
        <v>445</v>
      </c>
      <c r="Q17" s="286" t="str">
        <f t="shared" si="2"/>
        <v>02616C</v>
      </c>
      <c r="R17" s="348" t="str">
        <f t="shared" si="3"/>
        <v>Constr Maint Labor WU Shop-C</v>
      </c>
      <c r="S17" s="322">
        <f t="shared" si="21"/>
        <v>20.187000000000001</v>
      </c>
      <c r="T17" s="284">
        <f>ROUND(IF($P17="Y",((VLOOKUP($Q17,Rates2022,4,0)+LIUNA2023)*PercIncr2023)-LIUNA2023,VLOOKUP($Q17,Rates2022,4,0)),3)</f>
        <v>23.16</v>
      </c>
      <c r="U17" s="284">
        <f>ROUND(IF($P17="Y",((VLOOKUP($Q17,Rates2022,5,0)+LIUNA2023)*PercIncr2023)-LIUNA2023,VLOOKUP($Q17,Rates2022,5,0)),3)</f>
        <v>28.024999999999999</v>
      </c>
      <c r="V17" s="429"/>
      <c r="W17" s="429"/>
      <c r="X17" s="429"/>
      <c r="Y17" s="284"/>
      <c r="Z17" s="159">
        <f t="shared" si="7"/>
        <v>3</v>
      </c>
      <c r="AA17" s="159" t="s">
        <v>507</v>
      </c>
    </row>
    <row r="18" spans="1:27">
      <c r="A18" s="219" t="s">
        <v>332</v>
      </c>
      <c r="B18" s="162">
        <v>273</v>
      </c>
      <c r="C18" s="162">
        <v>6</v>
      </c>
      <c r="D18" s="162" t="s">
        <v>17</v>
      </c>
      <c r="E18" s="162" t="s">
        <v>18</v>
      </c>
      <c r="F18" s="219"/>
      <c r="G18" s="162" t="s">
        <v>377</v>
      </c>
      <c r="H18" s="211" t="s">
        <v>378</v>
      </c>
      <c r="I18" s="269">
        <f t="shared" si="15"/>
        <v>32.43</v>
      </c>
      <c r="J18" s="269">
        <f t="shared" ref="J18" si="22">T18</f>
        <v>0</v>
      </c>
      <c r="K18" s="269">
        <f t="shared" ref="K18" si="23">U18</f>
        <v>0</v>
      </c>
      <c r="L18" s="269">
        <f t="shared" ref="L18" si="24">V18</f>
        <v>0</v>
      </c>
      <c r="M18" s="269"/>
      <c r="N18" s="269"/>
      <c r="O18" s="220"/>
      <c r="P18" s="430" t="s">
        <v>445</v>
      </c>
      <c r="Q18" s="286" t="str">
        <f t="shared" si="2"/>
        <v>52921C</v>
      </c>
      <c r="R18" s="309" t="str">
        <f t="shared" si="3"/>
        <v>Construction Crew Leader</v>
      </c>
      <c r="S18" s="322">
        <f t="shared" si="21"/>
        <v>32.43</v>
      </c>
      <c r="T18" s="350"/>
      <c r="U18" s="350"/>
      <c r="V18" s="350"/>
      <c r="W18" s="284"/>
      <c r="X18" s="284"/>
      <c r="Y18" s="284"/>
      <c r="Z18" s="159">
        <f t="shared" si="7"/>
        <v>1</v>
      </c>
    </row>
    <row r="19" spans="1:27">
      <c r="A19" s="219" t="s">
        <v>52</v>
      </c>
      <c r="B19" s="162">
        <v>188</v>
      </c>
      <c r="C19" s="162">
        <v>4</v>
      </c>
      <c r="D19" s="162" t="s">
        <v>17</v>
      </c>
      <c r="E19" s="162" t="s">
        <v>18</v>
      </c>
      <c r="F19" s="219" t="s">
        <v>52</v>
      </c>
      <c r="G19" s="162" t="s">
        <v>56</v>
      </c>
      <c r="H19" s="211" t="s">
        <v>57</v>
      </c>
      <c r="I19" s="269">
        <f t="shared" si="15"/>
        <v>20.187000000000001</v>
      </c>
      <c r="J19" s="269">
        <f>T19</f>
        <v>23.16</v>
      </c>
      <c r="K19" s="269">
        <f>U19</f>
        <v>28.024999999999999</v>
      </c>
      <c r="L19" s="269">
        <f>V19</f>
        <v>0</v>
      </c>
      <c r="M19" s="269">
        <f>W19</f>
        <v>0</v>
      </c>
      <c r="N19" s="269">
        <f>X19</f>
        <v>0</v>
      </c>
      <c r="O19" s="269"/>
      <c r="P19" s="286" t="s">
        <v>445</v>
      </c>
      <c r="Q19" s="286" t="str">
        <f t="shared" si="2"/>
        <v>02610C</v>
      </c>
      <c r="R19" s="309" t="str">
        <f t="shared" si="3"/>
        <v>Construction Maint Laborer</v>
      </c>
      <c r="S19" s="322">
        <f t="shared" si="21"/>
        <v>20.187000000000001</v>
      </c>
      <c r="T19" s="284">
        <f>ROUND(IF($P19="Y",((VLOOKUP($Q19,Rates2022,4,0)+LIUNA2023)*PercIncr2023)-LIUNA2023,VLOOKUP($Q19,Rates2022,4,0)),3)</f>
        <v>23.16</v>
      </c>
      <c r="U19" s="284">
        <f>ROUND(IF($P19="Y",((VLOOKUP($Q19,Rates2022,5,0)+LIUNA2023)*PercIncr2023)-LIUNA2023,VLOOKUP($Q19,Rates2022,5,0)),3)</f>
        <v>28.024999999999999</v>
      </c>
      <c r="V19" s="429"/>
      <c r="W19" s="429"/>
      <c r="X19" s="429"/>
      <c r="Y19" s="284"/>
      <c r="Z19" s="159">
        <f t="shared" si="7"/>
        <v>3</v>
      </c>
    </row>
    <row r="20" spans="1:27">
      <c r="A20" s="219" t="s">
        <v>47</v>
      </c>
      <c r="B20" s="162">
        <v>153</v>
      </c>
      <c r="C20" s="162">
        <v>3</v>
      </c>
      <c r="D20" s="162" t="s">
        <v>17</v>
      </c>
      <c r="E20" s="162" t="s">
        <v>18</v>
      </c>
      <c r="F20" s="219" t="s">
        <v>47</v>
      </c>
      <c r="G20" s="162" t="s">
        <v>58</v>
      </c>
      <c r="H20" s="211" t="s">
        <v>59</v>
      </c>
      <c r="I20" s="269">
        <f t="shared" si="15"/>
        <v>16.756</v>
      </c>
      <c r="J20" s="269">
        <f t="shared" ref="J20:K23" si="25">T20</f>
        <v>19.492999999999999</v>
      </c>
      <c r="K20" s="269">
        <f t="shared" si="25"/>
        <v>20.613</v>
      </c>
      <c r="L20" s="269">
        <f t="shared" ref="L20:L24" si="26">V20</f>
        <v>25.899000000000001</v>
      </c>
      <c r="M20" s="269">
        <f t="shared" ref="M20:M23" si="27">W20</f>
        <v>0</v>
      </c>
      <c r="N20" s="269">
        <f t="shared" ref="N20:N23" si="28">X20</f>
        <v>0</v>
      </c>
      <c r="O20" s="269">
        <f t="shared" ref="O20:O23" si="29">Y20</f>
        <v>0</v>
      </c>
      <c r="P20" s="286" t="s">
        <v>445</v>
      </c>
      <c r="Q20" s="286" t="str">
        <f t="shared" si="2"/>
        <v>05850C</v>
      </c>
      <c r="R20" s="348" t="str">
        <f t="shared" si="3"/>
        <v>Custodian Property Services</v>
      </c>
      <c r="S20" s="322">
        <f t="shared" si="21"/>
        <v>16.756</v>
      </c>
      <c r="T20" s="284">
        <f>ROUND(IF($P20="Y",((VLOOKUP($Q20,Rates2022,4,0)+LIUNA2023)*PercIncr2023)-LIUNA2023,VLOOKUP($Q20,Rates2022,4,0)),3)</f>
        <v>19.492999999999999</v>
      </c>
      <c r="U20" s="284">
        <f>ROUND(IF($P20="Y",((VLOOKUP($Q20,Rates2022,5,0)+LIUNA2023)*PercIncr2023)-LIUNA2023,VLOOKUP($Q20,Rates2022,5,0)),3)</f>
        <v>20.613</v>
      </c>
      <c r="V20" s="284">
        <f>ROUND(IF($P20="Y",((VLOOKUP($Q20,Rates2022,6,0)+LIUNA2023)*PercIncr2023)-LIUNA2023,VLOOKUP($Q20,Rates2022,6,0)),3)</f>
        <v>25.899000000000001</v>
      </c>
      <c r="W20" s="429"/>
      <c r="X20" s="429"/>
      <c r="Y20" s="429"/>
      <c r="Z20" s="159">
        <f t="shared" si="7"/>
        <v>4</v>
      </c>
      <c r="AA20" s="432">
        <v>30.11</v>
      </c>
    </row>
    <row r="21" spans="1:27">
      <c r="A21" s="219" t="s">
        <v>47</v>
      </c>
      <c r="B21" s="162">
        <v>160</v>
      </c>
      <c r="C21" s="162">
        <v>3</v>
      </c>
      <c r="D21" s="162" t="s">
        <v>17</v>
      </c>
      <c r="E21" s="162" t="s">
        <v>18</v>
      </c>
      <c r="F21" s="219" t="s">
        <v>47</v>
      </c>
      <c r="G21" s="162" t="s">
        <v>60</v>
      </c>
      <c r="H21" s="211" t="s">
        <v>61</v>
      </c>
      <c r="I21" s="269">
        <f t="shared" si="15"/>
        <v>16.756</v>
      </c>
      <c r="J21" s="269">
        <f t="shared" si="25"/>
        <v>19.492999999999999</v>
      </c>
      <c r="K21" s="269">
        <f t="shared" si="25"/>
        <v>20.613</v>
      </c>
      <c r="L21" s="269">
        <f t="shared" si="26"/>
        <v>25.899000000000001</v>
      </c>
      <c r="M21" s="269">
        <f t="shared" si="27"/>
        <v>0</v>
      </c>
      <c r="N21" s="269">
        <f t="shared" si="28"/>
        <v>0</v>
      </c>
      <c r="O21" s="269">
        <f t="shared" si="29"/>
        <v>0</v>
      </c>
      <c r="P21" s="286" t="s">
        <v>445</v>
      </c>
      <c r="Q21" s="286" t="str">
        <f t="shared" si="2"/>
        <v>02960C</v>
      </c>
      <c r="R21" s="348" t="str">
        <f t="shared" si="3"/>
        <v>Delivery Worker</v>
      </c>
      <c r="S21" s="322">
        <f t="shared" si="21"/>
        <v>16.756</v>
      </c>
      <c r="T21" s="284">
        <f>ROUND(IF($P21="Y",((VLOOKUP($Q21,Rates2022,4,0)+LIUNA2023)*PercIncr2023)-LIUNA2023,VLOOKUP($Q21,Rates2022,4,0)),3)</f>
        <v>19.492999999999999</v>
      </c>
      <c r="U21" s="284">
        <f>ROUND(IF($P21="Y",((VLOOKUP($Q21,Rates2022,5,0)+LIUNA2023)*PercIncr2023)-LIUNA2023,VLOOKUP($Q21,Rates2022,5,0)),3)</f>
        <v>20.613</v>
      </c>
      <c r="V21" s="284">
        <f>ROUND(IF($P21="Y",((VLOOKUP($Q21,Rates2022,6,0)+LIUNA2023)*PercIncr2023)-LIUNA2023,VLOOKUP($Q21,Rates2022,6,0)),3)</f>
        <v>25.899000000000001</v>
      </c>
      <c r="W21" s="429"/>
      <c r="X21" s="429"/>
      <c r="Y21" s="429"/>
      <c r="Z21" s="159">
        <f t="shared" si="7"/>
        <v>4</v>
      </c>
    </row>
    <row r="22" spans="1:27">
      <c r="A22" s="219" t="s">
        <v>508</v>
      </c>
      <c r="B22" s="162">
        <v>220</v>
      </c>
      <c r="C22" s="162">
        <v>4</v>
      </c>
      <c r="D22" s="162" t="s">
        <v>17</v>
      </c>
      <c r="E22" s="162" t="s">
        <v>18</v>
      </c>
      <c r="F22" s="219" t="s">
        <v>62</v>
      </c>
      <c r="G22" s="162" t="s">
        <v>63</v>
      </c>
      <c r="H22" s="211" t="s">
        <v>64</v>
      </c>
      <c r="I22" s="269">
        <f t="shared" si="15"/>
        <v>18.440000000000001</v>
      </c>
      <c r="J22" s="269">
        <f t="shared" si="25"/>
        <v>21.454999999999998</v>
      </c>
      <c r="K22" s="269">
        <f t="shared" si="25"/>
        <v>24.672000000000001</v>
      </c>
      <c r="L22" s="269">
        <f t="shared" si="26"/>
        <v>29.78</v>
      </c>
      <c r="M22" s="269"/>
      <c r="N22" s="269"/>
      <c r="O22" s="269"/>
      <c r="P22" s="286" t="s">
        <v>445</v>
      </c>
      <c r="Q22" s="286" t="str">
        <f t="shared" si="2"/>
        <v>04170C</v>
      </c>
      <c r="R22" s="348" t="str">
        <f t="shared" si="3"/>
        <v>Equipment Service Worker</v>
      </c>
      <c r="S22" s="322">
        <v>18.440000000000001</v>
      </c>
      <c r="T22" s="284">
        <v>21.454999999999998</v>
      </c>
      <c r="U22" s="284">
        <v>24.672000000000001</v>
      </c>
      <c r="V22" s="284">
        <v>29.78</v>
      </c>
      <c r="W22" s="429"/>
      <c r="X22" s="429"/>
      <c r="Y22" s="429"/>
      <c r="Z22" s="159">
        <f t="shared" si="7"/>
        <v>4</v>
      </c>
    </row>
    <row r="23" spans="1:27">
      <c r="A23" s="219" t="s">
        <v>65</v>
      </c>
      <c r="B23" s="162">
        <v>263</v>
      </c>
      <c r="C23" s="162">
        <v>5</v>
      </c>
      <c r="D23" s="162" t="s">
        <v>17</v>
      </c>
      <c r="E23" s="162" t="s">
        <v>18</v>
      </c>
      <c r="F23" s="219" t="s">
        <v>65</v>
      </c>
      <c r="G23" s="162" t="s">
        <v>66</v>
      </c>
      <c r="H23" s="211" t="s">
        <v>67</v>
      </c>
      <c r="I23" s="269">
        <f t="shared" si="15"/>
        <v>26.92</v>
      </c>
      <c r="J23" s="269">
        <f t="shared" si="25"/>
        <v>27.821999999999999</v>
      </c>
      <c r="K23" s="269">
        <f t="shared" si="25"/>
        <v>28.757000000000001</v>
      </c>
      <c r="L23" s="269">
        <f t="shared" si="26"/>
        <v>29.908999999999999</v>
      </c>
      <c r="M23" s="269">
        <f t="shared" si="27"/>
        <v>0</v>
      </c>
      <c r="N23" s="269">
        <f t="shared" si="28"/>
        <v>0</v>
      </c>
      <c r="O23" s="269">
        <f t="shared" si="29"/>
        <v>0</v>
      </c>
      <c r="P23" s="286" t="s">
        <v>445</v>
      </c>
      <c r="Q23" s="286" t="str">
        <f t="shared" si="2"/>
        <v>05958C</v>
      </c>
      <c r="R23" s="348" t="str">
        <f t="shared" si="3"/>
        <v>Lead Custodian Property Services</v>
      </c>
      <c r="S23" s="322">
        <f t="shared" si="21"/>
        <v>26.92</v>
      </c>
      <c r="T23" s="284">
        <f>ROUND(IF($P23="Y",((VLOOKUP($Q23,Rates2022,4,0)+LIUNA2023)*PercIncr2023)-LIUNA2023,VLOOKUP($Q23,Rates2022,4,0)),3)</f>
        <v>27.821999999999999</v>
      </c>
      <c r="U23" s="284">
        <f>ROUND(IF($P23="Y",((VLOOKUP($Q23,Rates2022,5,0)+LIUNA2023)*PercIncr2023)-LIUNA2023,VLOOKUP($Q23,Rates2022,5,0)),3)</f>
        <v>28.757000000000001</v>
      </c>
      <c r="V23" s="284">
        <f>ROUND(IF($P23="Y",((VLOOKUP($Q23,Rates2022,6,0)+LIUNA2023)*PercIncr2023)-LIUNA2023,VLOOKUP($Q23,Rates2022,6,0)),3)</f>
        <v>29.908999999999999</v>
      </c>
      <c r="W23" s="429"/>
      <c r="X23" s="429"/>
      <c r="Y23" s="429"/>
      <c r="Z23" s="159">
        <f t="shared" si="7"/>
        <v>4</v>
      </c>
      <c r="AA23" s="276"/>
    </row>
    <row r="24" spans="1:27">
      <c r="A24" s="219">
        <v>11</v>
      </c>
      <c r="B24" s="162">
        <v>205</v>
      </c>
      <c r="C24" s="162">
        <v>4</v>
      </c>
      <c r="D24" s="162" t="s">
        <v>17</v>
      </c>
      <c r="E24" s="162" t="s">
        <v>18</v>
      </c>
      <c r="F24" s="219">
        <v>11</v>
      </c>
      <c r="G24" s="162" t="s">
        <v>68</v>
      </c>
      <c r="H24" s="211" t="s">
        <v>325</v>
      </c>
      <c r="I24" s="269">
        <f t="shared" si="15"/>
        <v>30.553000000000001</v>
      </c>
      <c r="J24" s="269">
        <f t="shared" ref="J24" si="30">T24</f>
        <v>0</v>
      </c>
      <c r="K24" s="269">
        <f t="shared" ref="K24" si="31">U24</f>
        <v>0</v>
      </c>
      <c r="L24" s="269">
        <f t="shared" si="26"/>
        <v>0</v>
      </c>
      <c r="M24" s="269"/>
      <c r="N24" s="269"/>
      <c r="O24" s="220"/>
      <c r="P24" s="430" t="s">
        <v>445</v>
      </c>
      <c r="Q24" s="286" t="str">
        <f t="shared" si="2"/>
        <v>06030C</v>
      </c>
      <c r="R24" s="309" t="str">
        <f t="shared" si="3"/>
        <v>Lead Pipe Layer I (Paving Const.)</v>
      </c>
      <c r="S24" s="322">
        <f t="shared" si="21"/>
        <v>30.553000000000001</v>
      </c>
      <c r="T24" s="350"/>
      <c r="U24" s="429"/>
      <c r="V24" s="429"/>
      <c r="W24" s="284"/>
      <c r="X24" s="284"/>
      <c r="Y24" s="284"/>
      <c r="Z24" s="159">
        <f t="shared" si="7"/>
        <v>1</v>
      </c>
    </row>
    <row r="25" spans="1:27">
      <c r="A25" s="219" t="s">
        <v>319</v>
      </c>
      <c r="B25" s="162">
        <v>205</v>
      </c>
      <c r="C25" s="162">
        <v>4</v>
      </c>
      <c r="D25" s="162" t="s">
        <v>17</v>
      </c>
      <c r="E25" s="162" t="s">
        <v>18</v>
      </c>
      <c r="F25" s="219" t="s">
        <v>19</v>
      </c>
      <c r="G25" s="162" t="s">
        <v>71</v>
      </c>
      <c r="H25" s="223" t="s">
        <v>379</v>
      </c>
      <c r="I25" s="269">
        <f t="shared" si="15"/>
        <v>27.762</v>
      </c>
      <c r="J25" s="269">
        <f t="shared" ref="J25:J27" si="32">T25</f>
        <v>28.628</v>
      </c>
      <c r="K25" s="269">
        <f t="shared" ref="K25:K27" si="33">U25</f>
        <v>29.52</v>
      </c>
      <c r="L25" s="269">
        <f t="shared" ref="L25:L27" si="34">V25</f>
        <v>30.44</v>
      </c>
      <c r="M25" s="269">
        <f t="shared" ref="M25:M26" si="35">W25</f>
        <v>0</v>
      </c>
      <c r="N25" s="269">
        <f t="shared" ref="N25:N26" si="36">X25</f>
        <v>0</v>
      </c>
      <c r="O25" s="269">
        <f t="shared" ref="O25:O26" si="37">Y25</f>
        <v>0</v>
      </c>
      <c r="P25" s="430" t="s">
        <v>445</v>
      </c>
      <c r="Q25" s="286" t="str">
        <f t="shared" si="2"/>
        <v>06035C</v>
      </c>
      <c r="R25" s="309" t="str">
        <f t="shared" si="3"/>
        <v>Lead Pipe Layer I (Paving Const.) Apprentice I (1st 522 hours)</v>
      </c>
      <c r="S25" s="322">
        <f t="shared" si="21"/>
        <v>27.762</v>
      </c>
      <c r="T25" s="284">
        <f>ROUND(IF($P25="Y",((VLOOKUP($Q25,Rates2022,4,0)+LIUNA2023)*PercIncr2023)-LIUNA2023,VLOOKUP($Q25,Rates2022,4,0)),3)</f>
        <v>28.628</v>
      </c>
      <c r="U25" s="284">
        <f>ROUND(IF($P25="Y",((VLOOKUP($Q25,Rates2022,5,0)+LIUNA2023)*PercIncr2023)-LIUNA2023,VLOOKUP($Q25,Rates2022,5,0)),3)</f>
        <v>29.52</v>
      </c>
      <c r="V25" s="284">
        <f>ROUND(IF($P25="Y",((VLOOKUP($Q25,Rates2022,6,0)+LIUNA2023)*PercIncr2023)-LIUNA2023,VLOOKUP($Q25,Rates2022,6,0)),3)</f>
        <v>30.44</v>
      </c>
      <c r="W25" s="429"/>
      <c r="X25" s="429"/>
      <c r="Y25" s="429"/>
      <c r="Z25" s="159">
        <f t="shared" si="7"/>
        <v>4</v>
      </c>
    </row>
    <row r="26" spans="1:27">
      <c r="A26" s="219" t="s">
        <v>321</v>
      </c>
      <c r="B26" s="162">
        <v>205</v>
      </c>
      <c r="C26" s="162">
        <v>4</v>
      </c>
      <c r="D26" s="162" t="s">
        <v>17</v>
      </c>
      <c r="E26" s="162" t="s">
        <v>18</v>
      </c>
      <c r="F26" s="219" t="s">
        <v>19</v>
      </c>
      <c r="G26" s="162" t="s">
        <v>74</v>
      </c>
      <c r="H26" s="223" t="s">
        <v>326</v>
      </c>
      <c r="I26" s="269">
        <f t="shared" si="15"/>
        <v>28.225000000000001</v>
      </c>
      <c r="J26" s="269">
        <f t="shared" si="32"/>
        <v>29.091999999999999</v>
      </c>
      <c r="K26" s="269">
        <f t="shared" si="33"/>
        <v>29.984000000000002</v>
      </c>
      <c r="L26" s="269">
        <f t="shared" si="34"/>
        <v>30.902999999999999</v>
      </c>
      <c r="M26" s="269">
        <f t="shared" si="35"/>
        <v>0</v>
      </c>
      <c r="N26" s="269">
        <f t="shared" si="36"/>
        <v>0</v>
      </c>
      <c r="O26" s="269">
        <f t="shared" si="37"/>
        <v>0</v>
      </c>
      <c r="P26" s="430" t="s">
        <v>445</v>
      </c>
      <c r="Q26" s="286" t="str">
        <f t="shared" si="2"/>
        <v>06037C</v>
      </c>
      <c r="R26" s="309" t="str">
        <f t="shared" si="3"/>
        <v>Lead Pipe Layer I (Paving Const.) Apprentice II (2nd 522 hours)</v>
      </c>
      <c r="S26" s="322">
        <f t="shared" si="21"/>
        <v>28.225000000000001</v>
      </c>
      <c r="T26" s="284">
        <f>ROUND(IF($P26="Y",((VLOOKUP($Q26,Rates2022,4,0)+LIUNA2023)*PercIncr2023)-LIUNA2023,VLOOKUP($Q26,Rates2022,4,0)),3)</f>
        <v>29.091999999999999</v>
      </c>
      <c r="U26" s="284">
        <f>ROUND(IF($P26="Y",((VLOOKUP($Q26,Rates2022,5,0)+LIUNA2023)*PercIncr2023)-LIUNA2023,VLOOKUP($Q26,Rates2022,5,0)),3)</f>
        <v>29.984000000000002</v>
      </c>
      <c r="V26" s="284">
        <f>ROUND(IF($P26="Y",((VLOOKUP($Q26,Rates2022,6,0)+LIUNA2023)*PercIncr2023)-LIUNA2023,VLOOKUP($Q26,Rates2022,6,0)),3)</f>
        <v>30.902999999999999</v>
      </c>
      <c r="W26" s="429"/>
      <c r="X26" s="429"/>
      <c r="Y26" s="429"/>
      <c r="Z26" s="159">
        <f t="shared" si="7"/>
        <v>4</v>
      </c>
    </row>
    <row r="27" spans="1:27">
      <c r="A27" s="219" t="s">
        <v>76</v>
      </c>
      <c r="B27" s="162">
        <v>205</v>
      </c>
      <c r="C27" s="162">
        <v>4</v>
      </c>
      <c r="D27" s="162" t="s">
        <v>17</v>
      </c>
      <c r="E27" s="162" t="s">
        <v>18</v>
      </c>
      <c r="F27" s="219" t="s">
        <v>76</v>
      </c>
      <c r="G27" s="162" t="s">
        <v>77</v>
      </c>
      <c r="H27" s="211" t="s">
        <v>327</v>
      </c>
      <c r="I27" s="269">
        <f t="shared" si="15"/>
        <v>30.866</v>
      </c>
      <c r="J27" s="269">
        <f t="shared" si="32"/>
        <v>0</v>
      </c>
      <c r="K27" s="269">
        <f t="shared" si="33"/>
        <v>0</v>
      </c>
      <c r="L27" s="269">
        <f t="shared" si="34"/>
        <v>0</v>
      </c>
      <c r="M27" s="269"/>
      <c r="N27" s="269"/>
      <c r="O27" s="220"/>
      <c r="P27" s="430" t="s">
        <v>445</v>
      </c>
      <c r="Q27" s="286" t="str">
        <f t="shared" si="2"/>
        <v>06050C</v>
      </c>
      <c r="R27" s="309" t="str">
        <f t="shared" si="3"/>
        <v>Lead Pipe Layer II (Water Const.)</v>
      </c>
      <c r="S27" s="322">
        <f t="shared" si="21"/>
        <v>30.866</v>
      </c>
      <c r="T27" s="350"/>
      <c r="U27" s="429"/>
      <c r="V27" s="429"/>
      <c r="W27" s="284"/>
      <c r="X27" s="284"/>
      <c r="Y27" s="284"/>
      <c r="Z27" s="159">
        <f t="shared" si="7"/>
        <v>1</v>
      </c>
    </row>
    <row r="28" spans="1:27">
      <c r="A28" s="219" t="s">
        <v>319</v>
      </c>
      <c r="B28" s="162">
        <v>205</v>
      </c>
      <c r="C28" s="162">
        <v>4</v>
      </c>
      <c r="D28" s="162" t="s">
        <v>17</v>
      </c>
      <c r="E28" s="162" t="s">
        <v>18</v>
      </c>
      <c r="F28" s="219" t="s">
        <v>19</v>
      </c>
      <c r="G28" s="162" t="s">
        <v>80</v>
      </c>
      <c r="H28" s="223" t="s">
        <v>328</v>
      </c>
      <c r="I28" s="269">
        <f t="shared" si="15"/>
        <v>27.762</v>
      </c>
      <c r="J28" s="269">
        <f t="shared" ref="J28:L30" si="38">T28</f>
        <v>28.628</v>
      </c>
      <c r="K28" s="269">
        <f t="shared" si="38"/>
        <v>29.52</v>
      </c>
      <c r="L28" s="269">
        <f t="shared" si="38"/>
        <v>30.44</v>
      </c>
      <c r="M28" s="269">
        <f t="shared" ref="M28:M30" si="39">W28</f>
        <v>0</v>
      </c>
      <c r="N28" s="269">
        <f t="shared" ref="N28:N30" si="40">X28</f>
        <v>0</v>
      </c>
      <c r="O28" s="269">
        <f t="shared" ref="O28:O30" si="41">Y28</f>
        <v>0</v>
      </c>
      <c r="P28" s="430" t="s">
        <v>445</v>
      </c>
      <c r="Q28" s="286" t="str">
        <f t="shared" si="2"/>
        <v>06056C</v>
      </c>
      <c r="R28" s="309" t="str">
        <f t="shared" si="3"/>
        <v>Lead Pipe Layer II (Water Const.) Apprentice I (1st 522 hours)</v>
      </c>
      <c r="S28" s="322">
        <f t="shared" si="21"/>
        <v>27.762</v>
      </c>
      <c r="T28" s="284">
        <f>ROUND(IF($P28="Y",((VLOOKUP($Q28,Rates2022,4,0)+LIUNA2023)*PercIncr2023)-LIUNA2023,VLOOKUP($Q28,Rates2022,4,0)),3)</f>
        <v>28.628</v>
      </c>
      <c r="U28" s="284">
        <f>ROUND(IF($P28="Y",((VLOOKUP($Q28,Rates2022,5,0)+LIUNA2023)*PercIncr2023)-LIUNA2023,VLOOKUP($Q28,Rates2022,5,0)),3)</f>
        <v>29.52</v>
      </c>
      <c r="V28" s="284">
        <f>ROUND(IF($P28="Y",((VLOOKUP($Q28,Rates2022,6,0)+LIUNA2023)*PercIncr2023)-LIUNA2023,VLOOKUP($Q28,Rates2022,6,0)),3)</f>
        <v>30.44</v>
      </c>
      <c r="W28" s="429"/>
      <c r="X28" s="429"/>
      <c r="Y28" s="429"/>
      <c r="Z28" s="159">
        <f t="shared" si="7"/>
        <v>4</v>
      </c>
    </row>
    <row r="29" spans="1:27">
      <c r="A29" s="219" t="s">
        <v>321</v>
      </c>
      <c r="B29" s="162">
        <v>205</v>
      </c>
      <c r="C29" s="162">
        <v>4</v>
      </c>
      <c r="D29" s="162" t="s">
        <v>17</v>
      </c>
      <c r="E29" s="162" t="s">
        <v>18</v>
      </c>
      <c r="F29" s="219" t="s">
        <v>19</v>
      </c>
      <c r="G29" s="162" t="s">
        <v>83</v>
      </c>
      <c r="H29" s="223" t="s">
        <v>329</v>
      </c>
      <c r="I29" s="269">
        <f t="shared" si="15"/>
        <v>28.225000000000001</v>
      </c>
      <c r="J29" s="269">
        <f t="shared" si="38"/>
        <v>29.091999999999999</v>
      </c>
      <c r="K29" s="269">
        <f t="shared" si="38"/>
        <v>29.984000000000002</v>
      </c>
      <c r="L29" s="269">
        <f t="shared" si="38"/>
        <v>30.902999999999999</v>
      </c>
      <c r="M29" s="269">
        <f t="shared" si="39"/>
        <v>0</v>
      </c>
      <c r="N29" s="269">
        <f t="shared" si="40"/>
        <v>0</v>
      </c>
      <c r="O29" s="269">
        <f t="shared" si="41"/>
        <v>0</v>
      </c>
      <c r="P29" s="430" t="s">
        <v>445</v>
      </c>
      <c r="Q29" s="286" t="str">
        <f t="shared" si="2"/>
        <v>06057C</v>
      </c>
      <c r="R29" s="309" t="str">
        <f t="shared" si="3"/>
        <v>Lead Pipe Layer II (Water Const.) Apprentice II (2nd 522 hours)</v>
      </c>
      <c r="S29" s="322">
        <f t="shared" si="21"/>
        <v>28.225000000000001</v>
      </c>
      <c r="T29" s="284">
        <f>ROUND(IF($P29="Y",((VLOOKUP($Q29,Rates2022,4,0)+LIUNA2023)*PercIncr2023)-LIUNA2023,VLOOKUP($Q29,Rates2022,4,0)),3)</f>
        <v>29.091999999999999</v>
      </c>
      <c r="U29" s="284">
        <f>ROUND(IF($P29="Y",((VLOOKUP($Q29,Rates2022,5,0)+LIUNA2023)*PercIncr2023)-LIUNA2023,VLOOKUP($Q29,Rates2022,5,0)),3)</f>
        <v>29.984000000000002</v>
      </c>
      <c r="V29" s="284">
        <f>ROUND(IF($P29="Y",((VLOOKUP($Q29,Rates2022,6,0)+LIUNA2023)*PercIncr2023)-LIUNA2023,VLOOKUP($Q29,Rates2022,6,0)),3)</f>
        <v>30.902999999999999</v>
      </c>
      <c r="W29" s="429"/>
      <c r="X29" s="429"/>
      <c r="Y29" s="429"/>
      <c r="Z29" s="159">
        <f t="shared" si="7"/>
        <v>4</v>
      </c>
    </row>
    <row r="30" spans="1:27">
      <c r="A30" s="219" t="s">
        <v>330</v>
      </c>
      <c r="B30" s="162">
        <v>205</v>
      </c>
      <c r="C30" s="162">
        <v>4</v>
      </c>
      <c r="D30" s="162" t="s">
        <v>17</v>
      </c>
      <c r="E30" s="162" t="s">
        <v>18</v>
      </c>
      <c r="F30" s="219" t="s">
        <v>19</v>
      </c>
      <c r="G30" s="162" t="s">
        <v>86</v>
      </c>
      <c r="H30" s="223" t="s">
        <v>331</v>
      </c>
      <c r="I30" s="269">
        <f t="shared" si="15"/>
        <v>28.489000000000001</v>
      </c>
      <c r="J30" s="269">
        <f t="shared" si="38"/>
        <v>29.356000000000002</v>
      </c>
      <c r="K30" s="269">
        <f t="shared" si="38"/>
        <v>30.248000000000001</v>
      </c>
      <c r="L30" s="269">
        <f t="shared" si="38"/>
        <v>31.167999999999999</v>
      </c>
      <c r="M30" s="269">
        <f t="shared" si="39"/>
        <v>0</v>
      </c>
      <c r="N30" s="269">
        <f t="shared" si="40"/>
        <v>0</v>
      </c>
      <c r="O30" s="269">
        <f t="shared" si="41"/>
        <v>0</v>
      </c>
      <c r="P30" s="430" t="s">
        <v>445</v>
      </c>
      <c r="Q30" s="286" t="str">
        <f t="shared" si="2"/>
        <v>06058C</v>
      </c>
      <c r="R30" s="309" t="str">
        <f t="shared" si="3"/>
        <v>Lead Pipe Layer II (Water Const.) Apprentice III (3rd 522 hours)</v>
      </c>
      <c r="S30" s="322">
        <f t="shared" si="21"/>
        <v>28.489000000000001</v>
      </c>
      <c r="T30" s="284">
        <f>ROUND(IF($P30="Y",((VLOOKUP($Q30,Rates2022,4,0)+LIUNA2023)*PercIncr2023)-LIUNA2023,VLOOKUP($Q30,Rates2022,4,0)),3)</f>
        <v>29.356000000000002</v>
      </c>
      <c r="U30" s="284">
        <f>ROUND(IF($P30="Y",((VLOOKUP($Q30,Rates2022,5,0)+LIUNA2023)*PercIncr2023)-LIUNA2023,VLOOKUP($Q30,Rates2022,5,0)),3)</f>
        <v>30.248000000000001</v>
      </c>
      <c r="V30" s="284">
        <f>ROUND(IF($P30="Y",((VLOOKUP($Q30,Rates2022,6,0)+LIUNA2023)*PercIncr2023)-LIUNA2023,VLOOKUP($Q30,Rates2022,6,0)),3)</f>
        <v>31.167999999999999</v>
      </c>
      <c r="W30" s="429"/>
      <c r="X30" s="429"/>
      <c r="Y30" s="429"/>
      <c r="Z30" s="159">
        <f t="shared" si="7"/>
        <v>4</v>
      </c>
    </row>
    <row r="31" spans="1:27">
      <c r="A31" s="219" t="s">
        <v>332</v>
      </c>
      <c r="B31" s="162">
        <v>205</v>
      </c>
      <c r="C31" s="162">
        <v>4</v>
      </c>
      <c r="D31" s="162" t="s">
        <v>17</v>
      </c>
      <c r="E31" s="162" t="s">
        <v>18</v>
      </c>
      <c r="F31" s="219" t="s">
        <v>88</v>
      </c>
      <c r="G31" s="162" t="s">
        <v>90</v>
      </c>
      <c r="H31" s="223" t="s">
        <v>333</v>
      </c>
      <c r="I31" s="269">
        <f t="shared" si="15"/>
        <v>32.43</v>
      </c>
      <c r="J31" s="269">
        <f t="shared" ref="J31" si="42">T31</f>
        <v>0</v>
      </c>
      <c r="K31" s="269">
        <f t="shared" ref="K31" si="43">U31</f>
        <v>0</v>
      </c>
      <c r="L31" s="269">
        <f t="shared" ref="L31" si="44">V31</f>
        <v>0</v>
      </c>
      <c r="M31" s="269"/>
      <c r="N31" s="269"/>
      <c r="O31" s="220"/>
      <c r="P31" s="430" t="s">
        <v>445</v>
      </c>
      <c r="Q31" s="286" t="str">
        <f t="shared" si="2"/>
        <v>06066C</v>
      </c>
      <c r="R31" s="309" t="str">
        <f t="shared" si="3"/>
        <v>Lead Pipe Layer III (Sewer Const.)</v>
      </c>
      <c r="S31" s="322">
        <f t="shared" si="21"/>
        <v>32.43</v>
      </c>
      <c r="T31" s="350"/>
      <c r="U31" s="429"/>
      <c r="V31" s="429"/>
      <c r="W31" s="284"/>
      <c r="X31" s="284"/>
      <c r="Y31" s="284"/>
      <c r="Z31" s="159">
        <f t="shared" si="7"/>
        <v>1</v>
      </c>
    </row>
    <row r="32" spans="1:27">
      <c r="A32" s="219" t="s">
        <v>319</v>
      </c>
      <c r="B32" s="162">
        <v>205</v>
      </c>
      <c r="C32" s="162">
        <v>4</v>
      </c>
      <c r="D32" s="162" t="s">
        <v>17</v>
      </c>
      <c r="E32" s="162" t="s">
        <v>18</v>
      </c>
      <c r="F32" s="219" t="s">
        <v>19</v>
      </c>
      <c r="G32" s="162" t="s">
        <v>93</v>
      </c>
      <c r="H32" s="223" t="s">
        <v>334</v>
      </c>
      <c r="I32" s="269">
        <f t="shared" si="15"/>
        <v>27.762</v>
      </c>
      <c r="J32" s="269">
        <f t="shared" ref="J32:L34" si="45">T32</f>
        <v>28.628</v>
      </c>
      <c r="K32" s="269">
        <f t="shared" si="45"/>
        <v>29.52</v>
      </c>
      <c r="L32" s="269">
        <f t="shared" si="45"/>
        <v>30.44</v>
      </c>
      <c r="M32" s="269">
        <f t="shared" ref="M32:M34" si="46">W32</f>
        <v>0</v>
      </c>
      <c r="N32" s="269">
        <f t="shared" ref="N32:N34" si="47">X32</f>
        <v>0</v>
      </c>
      <c r="O32" s="269">
        <f t="shared" ref="O32:O34" si="48">Y32</f>
        <v>0</v>
      </c>
      <c r="P32" s="430" t="s">
        <v>445</v>
      </c>
      <c r="Q32" s="286" t="str">
        <f t="shared" si="2"/>
        <v>06067C</v>
      </c>
      <c r="R32" s="309" t="str">
        <f t="shared" si="3"/>
        <v>Lead Pipe Layer III (Sewer Const.) Apprentice I (1st 522 hours)</v>
      </c>
      <c r="S32" s="322">
        <f t="shared" si="21"/>
        <v>27.762</v>
      </c>
      <c r="T32" s="284">
        <f>ROUND(IF($P32="Y",((VLOOKUP($Q32,Rates2022,4,0)+LIUNA2023)*PercIncr2023)-LIUNA2023,VLOOKUP($Q32,Rates2022,4,0)),3)</f>
        <v>28.628</v>
      </c>
      <c r="U32" s="284">
        <f>ROUND(IF($P32="Y",((VLOOKUP($Q32,Rates2022,5,0)+LIUNA2023)*PercIncr2023)-LIUNA2023,VLOOKUP($Q32,Rates2022,5,0)),3)</f>
        <v>29.52</v>
      </c>
      <c r="V32" s="284">
        <f>ROUND(IF($P32="Y",((VLOOKUP($Q32,Rates2022,6,0)+LIUNA2023)*PercIncr2023)-LIUNA2023,VLOOKUP($Q32,Rates2022,6,0)),3)</f>
        <v>30.44</v>
      </c>
      <c r="W32" s="429"/>
      <c r="X32" s="429"/>
      <c r="Y32" s="429"/>
      <c r="Z32" s="159">
        <f t="shared" si="7"/>
        <v>4</v>
      </c>
    </row>
    <row r="33" spans="1:27">
      <c r="A33" s="219" t="s">
        <v>321</v>
      </c>
      <c r="B33" s="162">
        <v>205</v>
      </c>
      <c r="C33" s="162">
        <v>4</v>
      </c>
      <c r="D33" s="162" t="s">
        <v>17</v>
      </c>
      <c r="E33" s="162" t="s">
        <v>18</v>
      </c>
      <c r="F33" s="219" t="s">
        <v>19</v>
      </c>
      <c r="G33" s="162" t="s">
        <v>96</v>
      </c>
      <c r="H33" s="223" t="s">
        <v>335</v>
      </c>
      <c r="I33" s="269">
        <f t="shared" si="15"/>
        <v>28.225000000000001</v>
      </c>
      <c r="J33" s="269">
        <f t="shared" si="45"/>
        <v>29.091999999999999</v>
      </c>
      <c r="K33" s="269">
        <f t="shared" si="45"/>
        <v>29.984000000000002</v>
      </c>
      <c r="L33" s="269">
        <f t="shared" si="45"/>
        <v>30.902999999999999</v>
      </c>
      <c r="M33" s="269">
        <f t="shared" si="46"/>
        <v>0</v>
      </c>
      <c r="N33" s="269">
        <f t="shared" si="47"/>
        <v>0</v>
      </c>
      <c r="O33" s="269">
        <f t="shared" si="48"/>
        <v>0</v>
      </c>
      <c r="P33" s="430" t="s">
        <v>445</v>
      </c>
      <c r="Q33" s="286" t="str">
        <f t="shared" si="2"/>
        <v>06068C</v>
      </c>
      <c r="R33" s="309" t="str">
        <f t="shared" si="3"/>
        <v>Lead Pipe Layer III (Sewer Const.) Apprentice II (2nd 522 hours)</v>
      </c>
      <c r="S33" s="322">
        <f t="shared" si="21"/>
        <v>28.225000000000001</v>
      </c>
      <c r="T33" s="284">
        <f>ROUND(IF($P33="Y",((VLOOKUP($Q33,Rates2022,4,0)+LIUNA2023)*PercIncr2023)-LIUNA2023,VLOOKUP($Q33,Rates2022,4,0)),3)</f>
        <v>29.091999999999999</v>
      </c>
      <c r="U33" s="284">
        <f>ROUND(IF($P33="Y",((VLOOKUP($Q33,Rates2022,5,0)+LIUNA2023)*PercIncr2023)-LIUNA2023,VLOOKUP($Q33,Rates2022,5,0)),3)</f>
        <v>29.984000000000002</v>
      </c>
      <c r="V33" s="284">
        <f>ROUND(IF($P33="Y",((VLOOKUP($Q33,Rates2022,6,0)+LIUNA2023)*PercIncr2023)-LIUNA2023,VLOOKUP($Q33,Rates2022,6,0)),3)</f>
        <v>30.902999999999999</v>
      </c>
      <c r="W33" s="429"/>
      <c r="X33" s="429"/>
      <c r="Y33" s="429"/>
      <c r="Z33" s="159">
        <f t="shared" si="7"/>
        <v>4</v>
      </c>
    </row>
    <row r="34" spans="1:27">
      <c r="A34" s="219" t="s">
        <v>330</v>
      </c>
      <c r="B34" s="162">
        <v>205</v>
      </c>
      <c r="C34" s="162">
        <v>4</v>
      </c>
      <c r="D34" s="162" t="s">
        <v>17</v>
      </c>
      <c r="E34" s="162" t="s">
        <v>18</v>
      </c>
      <c r="F34" s="219" t="s">
        <v>19</v>
      </c>
      <c r="G34" s="162" t="s">
        <v>99</v>
      </c>
      <c r="H34" s="223" t="s">
        <v>336</v>
      </c>
      <c r="I34" s="269">
        <f t="shared" si="15"/>
        <v>28.489000000000001</v>
      </c>
      <c r="J34" s="269">
        <f t="shared" si="45"/>
        <v>29.356000000000002</v>
      </c>
      <c r="K34" s="269">
        <f t="shared" si="45"/>
        <v>30.248000000000001</v>
      </c>
      <c r="L34" s="269">
        <f t="shared" si="45"/>
        <v>31.167999999999999</v>
      </c>
      <c r="M34" s="269">
        <f t="shared" si="46"/>
        <v>0</v>
      </c>
      <c r="N34" s="269">
        <f t="shared" si="47"/>
        <v>0</v>
      </c>
      <c r="O34" s="269">
        <f t="shared" si="48"/>
        <v>0</v>
      </c>
      <c r="P34" s="430" t="s">
        <v>445</v>
      </c>
      <c r="Q34" s="286" t="str">
        <f t="shared" si="2"/>
        <v>06069C</v>
      </c>
      <c r="R34" s="309" t="str">
        <f t="shared" si="3"/>
        <v>Lead Pipe Layer III (Sewer Const.) Apprentice III (3rd 522 hours)</v>
      </c>
      <c r="S34" s="322">
        <f t="shared" si="21"/>
        <v>28.489000000000001</v>
      </c>
      <c r="T34" s="284">
        <f>ROUND(IF($P34="Y",((VLOOKUP($Q34,Rates2022,4,0)+LIUNA2023)*PercIncr2023)-LIUNA2023,VLOOKUP($Q34,Rates2022,4,0)),3)</f>
        <v>29.356000000000002</v>
      </c>
      <c r="U34" s="284">
        <f>ROUND(IF($P34="Y",((VLOOKUP($Q34,Rates2022,5,0)+LIUNA2023)*PercIncr2023)-LIUNA2023,VLOOKUP($Q34,Rates2022,5,0)),3)</f>
        <v>30.248000000000001</v>
      </c>
      <c r="V34" s="284">
        <f>ROUND(IF($P34="Y",((VLOOKUP($Q34,Rates2022,6,0)+LIUNA2023)*PercIncr2023)-LIUNA2023,VLOOKUP($Q34,Rates2022,6,0)),3)</f>
        <v>31.167999999999999</v>
      </c>
      <c r="W34" s="429"/>
      <c r="X34" s="429"/>
      <c r="Y34" s="429"/>
      <c r="Z34" s="159">
        <f t="shared" si="7"/>
        <v>4</v>
      </c>
    </row>
    <row r="35" spans="1:27">
      <c r="A35" s="219" t="s">
        <v>332</v>
      </c>
      <c r="B35" s="162">
        <v>273</v>
      </c>
      <c r="C35" s="162">
        <v>6</v>
      </c>
      <c r="D35" s="162" t="s">
        <v>17</v>
      </c>
      <c r="E35" s="162" t="s">
        <v>18</v>
      </c>
      <c r="F35" s="219">
        <v>19</v>
      </c>
      <c r="G35" s="162" t="s">
        <v>101</v>
      </c>
      <c r="H35" s="211" t="s">
        <v>102</v>
      </c>
      <c r="I35" s="269">
        <f t="shared" si="15"/>
        <v>32.43</v>
      </c>
      <c r="J35" s="269">
        <f t="shared" ref="J35:J42" si="49">T35</f>
        <v>0</v>
      </c>
      <c r="K35" s="269">
        <f t="shared" ref="K35:K42" si="50">U35</f>
        <v>0</v>
      </c>
      <c r="L35" s="269">
        <f t="shared" ref="L35:L42" si="51">V35</f>
        <v>0</v>
      </c>
      <c r="M35" s="269"/>
      <c r="N35" s="269"/>
      <c r="O35" s="220"/>
      <c r="P35" s="430" t="s">
        <v>445</v>
      </c>
      <c r="Q35" s="286" t="str">
        <f t="shared" si="2"/>
        <v>06462C</v>
      </c>
      <c r="R35" s="309" t="str">
        <f t="shared" si="3"/>
        <v>Maintenance Crew Ldr - Bridge</v>
      </c>
      <c r="S35" s="322">
        <f t="shared" si="21"/>
        <v>32.43</v>
      </c>
      <c r="T35" s="350"/>
      <c r="U35" s="429"/>
      <c r="V35" s="429"/>
      <c r="W35" s="284"/>
      <c r="X35" s="284"/>
      <c r="Y35" s="284"/>
      <c r="Z35" s="159">
        <f t="shared" si="7"/>
        <v>1</v>
      </c>
    </row>
    <row r="36" spans="1:27">
      <c r="A36" s="219" t="s">
        <v>332</v>
      </c>
      <c r="B36" s="162">
        <v>273</v>
      </c>
      <c r="C36" s="162">
        <v>6</v>
      </c>
      <c r="D36" s="162" t="s">
        <v>17</v>
      </c>
      <c r="E36" s="162" t="s">
        <v>18</v>
      </c>
      <c r="F36" s="219" t="s">
        <v>88</v>
      </c>
      <c r="G36" s="162" t="s">
        <v>103</v>
      </c>
      <c r="H36" s="211" t="s">
        <v>104</v>
      </c>
      <c r="I36" s="269">
        <f t="shared" si="15"/>
        <v>32.43</v>
      </c>
      <c r="J36" s="269">
        <f t="shared" si="49"/>
        <v>0</v>
      </c>
      <c r="K36" s="269">
        <f t="shared" si="50"/>
        <v>0</v>
      </c>
      <c r="L36" s="269">
        <f t="shared" si="51"/>
        <v>0</v>
      </c>
      <c r="M36" s="269"/>
      <c r="N36" s="269"/>
      <c r="O36" s="220"/>
      <c r="P36" s="430" t="s">
        <v>445</v>
      </c>
      <c r="Q36" s="286" t="str">
        <f t="shared" si="2"/>
        <v>06464C</v>
      </c>
      <c r="R36" s="309" t="str">
        <f t="shared" si="3"/>
        <v>Maintenance Crew Ldr - Sewer</v>
      </c>
      <c r="S36" s="322">
        <f t="shared" si="21"/>
        <v>32.43</v>
      </c>
      <c r="T36" s="350"/>
      <c r="U36" s="429"/>
      <c r="V36" s="429"/>
      <c r="W36" s="284"/>
      <c r="X36" s="284"/>
      <c r="Y36" s="284"/>
      <c r="Z36" s="159">
        <f t="shared" si="7"/>
        <v>1</v>
      </c>
    </row>
    <row r="37" spans="1:27">
      <c r="A37" s="219" t="s">
        <v>332</v>
      </c>
      <c r="B37" s="162">
        <v>273</v>
      </c>
      <c r="C37" s="162">
        <v>6</v>
      </c>
      <c r="D37" s="162" t="s">
        <v>17</v>
      </c>
      <c r="E37" s="162" t="s">
        <v>18</v>
      </c>
      <c r="F37" s="219">
        <v>19</v>
      </c>
      <c r="G37" s="162" t="s">
        <v>105</v>
      </c>
      <c r="H37" s="211" t="s">
        <v>106</v>
      </c>
      <c r="I37" s="269">
        <f t="shared" si="15"/>
        <v>32.43</v>
      </c>
      <c r="J37" s="269">
        <f t="shared" si="49"/>
        <v>0</v>
      </c>
      <c r="K37" s="269">
        <f t="shared" si="50"/>
        <v>0</v>
      </c>
      <c r="L37" s="269">
        <f t="shared" si="51"/>
        <v>0</v>
      </c>
      <c r="M37" s="269"/>
      <c r="N37" s="269"/>
      <c r="O37" s="220"/>
      <c r="P37" s="430" t="s">
        <v>445</v>
      </c>
      <c r="Q37" s="286" t="str">
        <f t="shared" si="2"/>
        <v>06465C</v>
      </c>
      <c r="R37" s="309" t="str">
        <f t="shared" si="3"/>
        <v>Maintenance Crew Ldr - Sol Waste</v>
      </c>
      <c r="S37" s="322">
        <f t="shared" si="21"/>
        <v>32.43</v>
      </c>
      <c r="T37" s="350"/>
      <c r="U37" s="429"/>
      <c r="V37" s="429"/>
      <c r="W37" s="284"/>
      <c r="X37" s="284"/>
      <c r="Y37" s="284"/>
      <c r="Z37" s="159">
        <f t="shared" si="7"/>
        <v>1</v>
      </c>
    </row>
    <row r="38" spans="1:27">
      <c r="A38" s="219" t="s">
        <v>332</v>
      </c>
      <c r="B38" s="162">
        <v>273</v>
      </c>
      <c r="C38" s="162">
        <v>6</v>
      </c>
      <c r="D38" s="162" t="s">
        <v>17</v>
      </c>
      <c r="E38" s="162" t="s">
        <v>18</v>
      </c>
      <c r="F38" s="219">
        <v>19</v>
      </c>
      <c r="G38" s="162" t="s">
        <v>107</v>
      </c>
      <c r="H38" s="211" t="s">
        <v>108</v>
      </c>
      <c r="I38" s="269">
        <f t="shared" si="15"/>
        <v>32.43</v>
      </c>
      <c r="J38" s="269">
        <f t="shared" si="49"/>
        <v>0</v>
      </c>
      <c r="K38" s="269">
        <f t="shared" si="50"/>
        <v>0</v>
      </c>
      <c r="L38" s="269">
        <f t="shared" si="51"/>
        <v>0</v>
      </c>
      <c r="M38" s="269"/>
      <c r="N38" s="269"/>
      <c r="O38" s="220"/>
      <c r="P38" s="430" t="s">
        <v>445</v>
      </c>
      <c r="Q38" s="286" t="str">
        <f t="shared" si="2"/>
        <v>06466C</v>
      </c>
      <c r="R38" s="309" t="str">
        <f t="shared" si="3"/>
        <v>Maintenance Crew Ldr - Streets</v>
      </c>
      <c r="S38" s="322">
        <f t="shared" si="21"/>
        <v>32.43</v>
      </c>
      <c r="T38" s="350"/>
      <c r="U38" s="429"/>
      <c r="V38" s="429"/>
      <c r="W38" s="284"/>
      <c r="X38" s="284"/>
      <c r="Y38" s="284"/>
      <c r="Z38" s="159">
        <f t="shared" si="7"/>
        <v>1</v>
      </c>
    </row>
    <row r="39" spans="1:27">
      <c r="A39" s="219" t="s">
        <v>332</v>
      </c>
      <c r="B39" s="162">
        <v>273</v>
      </c>
      <c r="C39" s="162">
        <v>6</v>
      </c>
      <c r="D39" s="162" t="s">
        <v>17</v>
      </c>
      <c r="E39" s="162" t="s">
        <v>18</v>
      </c>
      <c r="F39" s="219">
        <v>19</v>
      </c>
      <c r="G39" s="162" t="s">
        <v>109</v>
      </c>
      <c r="H39" s="211" t="s">
        <v>110</v>
      </c>
      <c r="I39" s="269">
        <f t="shared" si="15"/>
        <v>32.43</v>
      </c>
      <c r="J39" s="269">
        <f t="shared" si="49"/>
        <v>0</v>
      </c>
      <c r="K39" s="269">
        <f t="shared" si="50"/>
        <v>0</v>
      </c>
      <c r="L39" s="269">
        <f t="shared" si="51"/>
        <v>0</v>
      </c>
      <c r="M39" s="269"/>
      <c r="N39" s="269"/>
      <c r="O39" s="220"/>
      <c r="P39" s="430" t="s">
        <v>445</v>
      </c>
      <c r="Q39" s="286" t="str">
        <f t="shared" si="2"/>
        <v>06468C</v>
      </c>
      <c r="R39" s="309" t="str">
        <f t="shared" si="3"/>
        <v>Maintenance Crew Ldr - Traffic</v>
      </c>
      <c r="S39" s="322">
        <f t="shared" si="21"/>
        <v>32.43</v>
      </c>
      <c r="T39" s="350"/>
      <c r="U39" s="429"/>
      <c r="V39" s="429"/>
      <c r="W39" s="284"/>
      <c r="X39" s="284"/>
      <c r="Y39" s="284"/>
      <c r="Z39" s="159">
        <f t="shared" si="7"/>
        <v>1</v>
      </c>
    </row>
    <row r="40" spans="1:27">
      <c r="A40" s="219" t="s">
        <v>509</v>
      </c>
      <c r="B40" s="162">
        <v>253</v>
      </c>
      <c r="C40" s="162">
        <v>5</v>
      </c>
      <c r="D40" s="162" t="s">
        <v>17</v>
      </c>
      <c r="E40" s="162" t="s">
        <v>18</v>
      </c>
      <c r="F40" s="219" t="s">
        <v>111</v>
      </c>
      <c r="G40" s="162" t="s">
        <v>112</v>
      </c>
      <c r="H40" s="211" t="s">
        <v>510</v>
      </c>
      <c r="I40" s="269">
        <f t="shared" si="15"/>
        <v>31.696999999999999</v>
      </c>
      <c r="J40" s="269">
        <f t="shared" si="49"/>
        <v>0</v>
      </c>
      <c r="K40" s="269">
        <f t="shared" si="50"/>
        <v>0</v>
      </c>
      <c r="L40" s="269">
        <f t="shared" si="51"/>
        <v>0</v>
      </c>
      <c r="M40" s="269"/>
      <c r="N40" s="269"/>
      <c r="O40" s="220"/>
      <c r="P40" s="430" t="s">
        <v>445</v>
      </c>
      <c r="Q40" s="286" t="str">
        <f t="shared" si="2"/>
        <v>07440C</v>
      </c>
      <c r="R40" s="309" t="str">
        <f t="shared" si="3"/>
        <v>Parking Meter Technician</v>
      </c>
      <c r="S40" s="322">
        <v>31.696999999999999</v>
      </c>
      <c r="T40" s="350"/>
      <c r="U40" s="429"/>
      <c r="V40" s="429"/>
      <c r="W40" s="284"/>
      <c r="X40" s="284"/>
      <c r="Y40" s="284"/>
      <c r="Z40" s="159">
        <f t="shared" si="7"/>
        <v>1</v>
      </c>
    </row>
    <row r="41" spans="1:27">
      <c r="A41" s="219" t="s">
        <v>114</v>
      </c>
      <c r="B41" s="162">
        <v>215</v>
      </c>
      <c r="C41" s="162">
        <v>4</v>
      </c>
      <c r="D41" s="162" t="s">
        <v>17</v>
      </c>
      <c r="E41" s="162" t="s">
        <v>18</v>
      </c>
      <c r="F41" s="219" t="s">
        <v>114</v>
      </c>
      <c r="G41" s="162" t="s">
        <v>115</v>
      </c>
      <c r="H41" s="211" t="s">
        <v>116</v>
      </c>
      <c r="I41" s="269">
        <f t="shared" si="15"/>
        <v>28.268000000000001</v>
      </c>
      <c r="J41" s="269">
        <f t="shared" si="49"/>
        <v>0</v>
      </c>
      <c r="K41" s="269">
        <f t="shared" si="50"/>
        <v>0</v>
      </c>
      <c r="L41" s="269">
        <f t="shared" si="51"/>
        <v>0</v>
      </c>
      <c r="M41" s="269"/>
      <c r="N41" s="269"/>
      <c r="O41" s="220"/>
      <c r="P41" s="430" t="s">
        <v>445</v>
      </c>
      <c r="Q41" s="286" t="str">
        <f t="shared" si="2"/>
        <v>07940C</v>
      </c>
      <c r="R41" s="309" t="str">
        <f t="shared" si="3"/>
        <v>Plant Service Worker</v>
      </c>
      <c r="S41" s="322">
        <f>ROUND(IF($P41="Y",((VLOOKUP($Q41,Rates2022,3,0)+LIUNA2023)*PercIncr2023)-LIUNA2023,VLOOKUP($Q41,Rates2022,3,0)),3)</f>
        <v>28.268000000000001</v>
      </c>
      <c r="T41" s="350"/>
      <c r="U41" s="429"/>
      <c r="V41" s="429"/>
      <c r="W41" s="284"/>
      <c r="X41" s="284"/>
      <c r="Y41" s="284"/>
      <c r="Z41" s="159">
        <f t="shared" si="7"/>
        <v>1</v>
      </c>
    </row>
    <row r="42" spans="1:27">
      <c r="A42" s="346" t="s">
        <v>118</v>
      </c>
      <c r="B42" s="347">
        <v>335</v>
      </c>
      <c r="C42" s="347">
        <v>7</v>
      </c>
      <c r="D42" s="347" t="s">
        <v>17</v>
      </c>
      <c r="E42" s="347" t="s">
        <v>18</v>
      </c>
      <c r="F42" s="346" t="s">
        <v>117</v>
      </c>
      <c r="G42" s="347" t="s">
        <v>119</v>
      </c>
      <c r="H42" s="348" t="s">
        <v>120</v>
      </c>
      <c r="I42" s="349">
        <f t="shared" si="15"/>
        <v>28.460999999999999</v>
      </c>
      <c r="J42" s="349">
        <f t="shared" si="49"/>
        <v>29.917999999999999</v>
      </c>
      <c r="K42" s="349">
        <f t="shared" si="50"/>
        <v>31.378</v>
      </c>
      <c r="L42" s="349">
        <f t="shared" si="51"/>
        <v>32.832000000000001</v>
      </c>
      <c r="M42" s="349">
        <f t="shared" ref="M42:M45" si="52">W42</f>
        <v>34.290999999999997</v>
      </c>
      <c r="N42" s="349">
        <f t="shared" ref="N42:N43" si="53">X42</f>
        <v>35.753</v>
      </c>
      <c r="O42" s="351"/>
      <c r="P42" s="351" t="s">
        <v>445</v>
      </c>
      <c r="Q42" s="347" t="str">
        <f t="shared" si="2"/>
        <v>02621C</v>
      </c>
      <c r="R42" s="348" t="str">
        <f t="shared" si="3"/>
        <v>Pubic Works Equipment Dispatcher</v>
      </c>
      <c r="S42" s="349">
        <f>ROUND(IF($P42="Y",((VLOOKUP($Q42,Rates2022,3,0)+LIUNA2023)*PercIncr2023)-LIUNA2023,VLOOKUP($Q42,Rates2022,3,0)),3)</f>
        <v>28.460999999999999</v>
      </c>
      <c r="T42" s="433">
        <f>ROUND(IF($P42="Y",((VLOOKUP($Q42,Rates2022,4,0)+LIUNA2023)*PercIncr2023)-LIUNA2023,VLOOKUP($Q42,Rates2022,4,0)),3)</f>
        <v>29.917999999999999</v>
      </c>
      <c r="U42" s="433">
        <f>ROUND(IF($P42="Y",((VLOOKUP($Q42,Rates2022,5,0)+LIUNA2023)*PercIncr2023)-LIUNA2023,VLOOKUP($Q42,Rates2022,5,0)),3)</f>
        <v>31.378</v>
      </c>
      <c r="V42" s="433">
        <f>ROUND(IF($P42="Y",((VLOOKUP($Q42,Rates2022,6,0)+LIUNA2023)*PercIncr2023)-LIUNA2023,VLOOKUP($Q42,Rates2022,6,0)),3)</f>
        <v>32.832000000000001</v>
      </c>
      <c r="W42" s="433">
        <f>ROUND(IF($P42="Y",((VLOOKUP($Q42,Rates2022,7,0)+LIUNA2023)*PercIncr2023)-LIUNA2023,VLOOKUP($Q42,Rates2022,7,0)),3)</f>
        <v>34.290999999999997</v>
      </c>
      <c r="X42" s="433">
        <f>ROUND(IF($P42="Y",((VLOOKUP($Q42,Rates2022,8,0)+LIUNA2023)*PercIncr2023)-LIUNA2023,VLOOKUP($Q42,Rates2022,8,0)),3)</f>
        <v>35.753</v>
      </c>
      <c r="Y42" s="433"/>
      <c r="Z42" s="159">
        <f t="shared" si="7"/>
        <v>6</v>
      </c>
    </row>
    <row r="43" spans="1:27">
      <c r="A43" s="219" t="s">
        <v>19</v>
      </c>
      <c r="B43" s="162">
        <v>230</v>
      </c>
      <c r="C43" s="162">
        <v>5</v>
      </c>
      <c r="D43" s="162" t="s">
        <v>17</v>
      </c>
      <c r="E43" s="162" t="s">
        <v>18</v>
      </c>
      <c r="F43" s="219" t="s">
        <v>19</v>
      </c>
      <c r="G43" s="162" t="s">
        <v>121</v>
      </c>
      <c r="H43" s="223" t="s">
        <v>122</v>
      </c>
      <c r="I43" s="269">
        <f t="shared" si="15"/>
        <v>27.562999999999999</v>
      </c>
      <c r="J43" s="269">
        <f>T43</f>
        <v>28.428999999999998</v>
      </c>
      <c r="K43" s="269">
        <f>U43</f>
        <v>29.321999999999999</v>
      </c>
      <c r="L43" s="269">
        <f>V43</f>
        <v>30.241</v>
      </c>
      <c r="M43" s="269">
        <f t="shared" si="52"/>
        <v>0</v>
      </c>
      <c r="N43" s="269">
        <f t="shared" si="53"/>
        <v>0</v>
      </c>
      <c r="O43" s="269">
        <f t="shared" ref="O43" si="54">Y43</f>
        <v>0</v>
      </c>
      <c r="P43" s="430" t="s">
        <v>445</v>
      </c>
      <c r="Q43" s="286" t="str">
        <f t="shared" si="2"/>
        <v>08568C</v>
      </c>
      <c r="R43" s="348" t="str">
        <f t="shared" si="3"/>
        <v xml:space="preserve">Public Works Service Worker I </v>
      </c>
      <c r="S43" s="322">
        <v>27.562999999999999</v>
      </c>
      <c r="T43" s="284">
        <v>28.428999999999998</v>
      </c>
      <c r="U43" s="284">
        <v>29.321999999999999</v>
      </c>
      <c r="V43" s="284">
        <v>30.241</v>
      </c>
      <c r="W43" s="429"/>
      <c r="X43" s="429"/>
      <c r="Y43" s="429"/>
      <c r="Z43" s="159">
        <f t="shared" si="7"/>
        <v>4</v>
      </c>
      <c r="AA43" s="276">
        <v>34.698750000000004</v>
      </c>
    </row>
    <row r="44" spans="1:27">
      <c r="A44" s="219" t="s">
        <v>124</v>
      </c>
      <c r="B44" s="162">
        <v>230</v>
      </c>
      <c r="C44" s="162">
        <v>5</v>
      </c>
      <c r="D44" s="162" t="s">
        <v>17</v>
      </c>
      <c r="E44" s="162" t="s">
        <v>18</v>
      </c>
      <c r="F44" s="219" t="s">
        <v>124</v>
      </c>
      <c r="G44" s="162" t="s">
        <v>126</v>
      </c>
      <c r="H44" s="223" t="s">
        <v>127</v>
      </c>
      <c r="I44" s="269">
        <f t="shared" si="15"/>
        <v>17.916</v>
      </c>
      <c r="J44" s="269">
        <f>T44</f>
        <v>19.193999999999999</v>
      </c>
      <c r="K44" s="269">
        <f t="shared" ref="K44:L44" si="55">U44</f>
        <v>0</v>
      </c>
      <c r="L44" s="269">
        <f t="shared" si="55"/>
        <v>0</v>
      </c>
      <c r="M44" s="269">
        <f t="shared" si="52"/>
        <v>0</v>
      </c>
      <c r="O44" s="220"/>
      <c r="P44" s="430" t="s">
        <v>445</v>
      </c>
      <c r="Q44" s="286" t="str">
        <f t="shared" si="2"/>
        <v>08564C</v>
      </c>
      <c r="R44" s="309" t="str">
        <f t="shared" si="3"/>
        <v xml:space="preserve">Public Works Service Worker I - Trainee </v>
      </c>
      <c r="S44" s="434">
        <v>17.916</v>
      </c>
      <c r="T44" s="435">
        <v>19.193999999999999</v>
      </c>
      <c r="U44" s="429"/>
      <c r="V44" s="429"/>
      <c r="W44" s="429"/>
      <c r="X44" s="284"/>
      <c r="Y44" s="435"/>
      <c r="Z44" s="159">
        <f t="shared" si="7"/>
        <v>2</v>
      </c>
      <c r="AA44" s="414"/>
    </row>
    <row r="45" spans="1:27">
      <c r="A45" s="219" t="s">
        <v>130</v>
      </c>
      <c r="B45" s="162">
        <v>318</v>
      </c>
      <c r="C45" s="162">
        <v>7</v>
      </c>
      <c r="D45" s="162" t="s">
        <v>17</v>
      </c>
      <c r="E45" s="162" t="s">
        <v>18</v>
      </c>
      <c r="F45" s="219" t="s">
        <v>130</v>
      </c>
      <c r="G45" s="229" t="s">
        <v>131</v>
      </c>
      <c r="H45" s="223" t="s">
        <v>382</v>
      </c>
      <c r="I45" s="269">
        <f t="shared" si="15"/>
        <v>35.917000000000002</v>
      </c>
      <c r="J45" s="269">
        <f>T45</f>
        <v>36.889000000000003</v>
      </c>
      <c r="K45" s="269">
        <f>U45</f>
        <v>38.052</v>
      </c>
      <c r="L45" s="269">
        <f>V45</f>
        <v>0</v>
      </c>
      <c r="M45" s="269">
        <f t="shared" si="52"/>
        <v>0</v>
      </c>
      <c r="N45" s="269">
        <f t="shared" ref="N45" si="56">X45</f>
        <v>0</v>
      </c>
      <c r="O45" s="269"/>
      <c r="P45" s="430" t="s">
        <v>445</v>
      </c>
      <c r="Q45" s="286" t="str">
        <f t="shared" si="2"/>
        <v>09194C</v>
      </c>
      <c r="R45" s="309" t="str">
        <f t="shared" si="3"/>
        <v xml:space="preserve">Senior Water Treatment Operator </v>
      </c>
      <c r="S45" s="322">
        <f t="shared" ref="S45:S50" si="57">ROUND(IF($P45="Y",((VLOOKUP($Q45,Rates2022,3,0)+LIUNA2023)*PercIncr2023)-LIUNA2023,VLOOKUP($Q45,Rates2022,3,0)),3)</f>
        <v>35.917000000000002</v>
      </c>
      <c r="T45" s="284">
        <f>ROUND(IF($P45="Y",((VLOOKUP($Q45,Rates2022,4,0)+LIUNA2023)*PercIncr2023)-LIUNA2023,VLOOKUP($Q45,Rates2022,4,0)),3)</f>
        <v>36.889000000000003</v>
      </c>
      <c r="U45" s="284">
        <f>ROUND(IF($P45="Y",((VLOOKUP($Q45,Rates2022,5,0)+LIUNA2023)*PercIncr2023)-LIUNA2023,VLOOKUP($Q45,Rates2022,5,0)),3)</f>
        <v>38.052</v>
      </c>
      <c r="V45" s="429"/>
      <c r="W45" s="429"/>
      <c r="X45" s="429"/>
      <c r="Y45" s="284"/>
      <c r="Z45" s="159">
        <f t="shared" si="7"/>
        <v>3</v>
      </c>
      <c r="AA45" s="276"/>
    </row>
    <row r="46" spans="1:27">
      <c r="A46" s="219" t="s">
        <v>133</v>
      </c>
      <c r="B46" s="162">
        <v>310</v>
      </c>
      <c r="C46" s="162">
        <v>6</v>
      </c>
      <c r="D46" s="162" t="s">
        <v>17</v>
      </c>
      <c r="E46" s="162" t="s">
        <v>18</v>
      </c>
      <c r="F46" s="219" t="s">
        <v>133</v>
      </c>
      <c r="G46" s="162" t="s">
        <v>134</v>
      </c>
      <c r="H46" s="211" t="s">
        <v>135</v>
      </c>
      <c r="I46" s="269">
        <f t="shared" si="15"/>
        <v>28.366</v>
      </c>
      <c r="J46" s="269">
        <f>T46</f>
        <v>29.76</v>
      </c>
      <c r="K46" s="269">
        <f>U46</f>
        <v>31.13</v>
      </c>
      <c r="L46" s="269">
        <f>V46</f>
        <v>32.601999999999997</v>
      </c>
      <c r="M46" s="269">
        <f t="shared" ref="M46" si="58">W46</f>
        <v>0</v>
      </c>
      <c r="N46" s="269">
        <f t="shared" ref="N46" si="59">X46</f>
        <v>0</v>
      </c>
      <c r="O46" s="269">
        <f t="shared" ref="O46" si="60">Y46</f>
        <v>0</v>
      </c>
      <c r="P46" s="430" t="s">
        <v>445</v>
      </c>
      <c r="Q46" s="286" t="str">
        <f t="shared" si="2"/>
        <v>09184C</v>
      </c>
      <c r="R46" s="309" t="str">
        <f t="shared" si="3"/>
        <v>Sewer Pumping Station Operator</v>
      </c>
      <c r="S46" s="322">
        <f t="shared" si="57"/>
        <v>28.366</v>
      </c>
      <c r="T46" s="284">
        <f>ROUND(IF($P46="Y",((VLOOKUP($Q46,Rates2022,4,0)+LIUNA2023)*PercIncr2023)-LIUNA2023,VLOOKUP($Q46,Rates2022,4,0)),3)</f>
        <v>29.76</v>
      </c>
      <c r="U46" s="284">
        <f>ROUND(IF($P46="Y",((VLOOKUP($Q46,Rates2022,5,0)+LIUNA2023)*PercIncr2023)-LIUNA2023,VLOOKUP($Q46,Rates2022,5,0)),3)</f>
        <v>31.13</v>
      </c>
      <c r="V46" s="284">
        <f>ROUND(IF($P46="Y",((VLOOKUP($Q46,Rates2022,6,0)+LIUNA2023)*PercIncr2023)-LIUNA2023,VLOOKUP($Q46,Rates2022,6,0)),3)</f>
        <v>32.601999999999997</v>
      </c>
      <c r="W46" s="429"/>
      <c r="X46" s="429"/>
      <c r="Y46" s="429"/>
      <c r="Z46" s="159">
        <f t="shared" si="7"/>
        <v>4</v>
      </c>
    </row>
    <row r="47" spans="1:27">
      <c r="A47" s="219" t="s">
        <v>111</v>
      </c>
      <c r="B47" s="162">
        <v>258</v>
      </c>
      <c r="C47" s="162">
        <v>5</v>
      </c>
      <c r="D47" s="162" t="s">
        <v>17</v>
      </c>
      <c r="E47" s="162" t="s">
        <v>18</v>
      </c>
      <c r="F47" s="219">
        <v>16</v>
      </c>
      <c r="G47" s="162" t="s">
        <v>136</v>
      </c>
      <c r="H47" s="211" t="s">
        <v>137</v>
      </c>
      <c r="I47" s="269">
        <f t="shared" si="15"/>
        <v>30.241</v>
      </c>
      <c r="J47" s="269">
        <f t="shared" ref="J47" si="61">T47</f>
        <v>0</v>
      </c>
      <c r="K47" s="269">
        <f t="shared" ref="K47" si="62">U47</f>
        <v>0</v>
      </c>
      <c r="L47" s="269">
        <f t="shared" ref="L47:L48" si="63">V47</f>
        <v>0</v>
      </c>
      <c r="M47" s="269"/>
      <c r="N47" s="269"/>
      <c r="O47" s="269"/>
      <c r="P47" s="430" t="s">
        <v>445</v>
      </c>
      <c r="Q47" s="286" t="str">
        <f t="shared" si="2"/>
        <v>09220C</v>
      </c>
      <c r="R47" s="309" t="str">
        <f t="shared" si="3"/>
        <v>Shop Repair Worker I</v>
      </c>
      <c r="S47" s="322">
        <f t="shared" si="57"/>
        <v>30.241</v>
      </c>
      <c r="T47" s="350"/>
      <c r="U47" s="429"/>
      <c r="V47" s="429"/>
      <c r="W47" s="284"/>
      <c r="X47" s="284"/>
      <c r="Y47" s="284"/>
      <c r="Z47" s="159">
        <f t="shared" si="7"/>
        <v>1</v>
      </c>
    </row>
    <row r="48" spans="1:27">
      <c r="A48" s="219" t="s">
        <v>308</v>
      </c>
      <c r="B48" s="162">
        <v>295</v>
      </c>
      <c r="C48" s="162">
        <v>6</v>
      </c>
      <c r="D48" s="162" t="s">
        <v>17</v>
      </c>
      <c r="E48" s="162" t="s">
        <v>18</v>
      </c>
      <c r="F48" s="219">
        <v>17</v>
      </c>
      <c r="G48" s="162" t="s">
        <v>138</v>
      </c>
      <c r="H48" s="211" t="s">
        <v>139</v>
      </c>
      <c r="I48" s="269">
        <f t="shared" si="15"/>
        <v>32.073999999999998</v>
      </c>
      <c r="J48" s="269">
        <f t="shared" ref="J48:K51" si="64">T48</f>
        <v>32.905000000000001</v>
      </c>
      <c r="K48" s="269">
        <f t="shared" si="64"/>
        <v>33.735999999999997</v>
      </c>
      <c r="L48" s="269">
        <f t="shared" si="63"/>
        <v>0</v>
      </c>
      <c r="M48" s="269">
        <f t="shared" ref="M48" si="65">W48</f>
        <v>0</v>
      </c>
      <c r="N48" s="269">
        <f t="shared" ref="N48" si="66">X48</f>
        <v>0</v>
      </c>
      <c r="O48" s="269"/>
      <c r="P48" s="286" t="s">
        <v>445</v>
      </c>
      <c r="Q48" s="286" t="str">
        <f t="shared" si="2"/>
        <v>09230C</v>
      </c>
      <c r="R48" s="309" t="str">
        <f t="shared" si="3"/>
        <v>Shop Repair Worker II</v>
      </c>
      <c r="S48" s="322">
        <f t="shared" si="57"/>
        <v>32.073999999999998</v>
      </c>
      <c r="T48" s="284">
        <f>ROUND(IF($P48="Y",((VLOOKUP($Q48,Rates2022,4,0)+LIUNA2023)*PercIncr2023)-LIUNA2023,VLOOKUP($Q48,Rates2022,4,0)),3)</f>
        <v>32.905000000000001</v>
      </c>
      <c r="U48" s="284">
        <f>ROUND(IF($P48="Y",((VLOOKUP($Q48,Rates2022,5,0)+LIUNA2023)*PercIncr2023)-LIUNA2023,VLOOKUP($Q48,Rates2022,5,0)),3)</f>
        <v>33.735999999999997</v>
      </c>
      <c r="V48" s="429"/>
      <c r="W48" s="429"/>
      <c r="X48" s="429"/>
      <c r="Y48" s="284"/>
      <c r="Z48" s="159">
        <f t="shared" si="7"/>
        <v>3</v>
      </c>
    </row>
    <row r="49" spans="1:27">
      <c r="A49" s="346">
        <v>8</v>
      </c>
      <c r="B49" s="347">
        <v>260</v>
      </c>
      <c r="C49" s="347">
        <v>5</v>
      </c>
      <c r="D49" s="347" t="s">
        <v>17</v>
      </c>
      <c r="E49" s="347" t="s">
        <v>18</v>
      </c>
      <c r="F49" s="346">
        <v>8</v>
      </c>
      <c r="G49" s="347" t="s">
        <v>140</v>
      </c>
      <c r="H49" s="348" t="s">
        <v>141</v>
      </c>
      <c r="I49" s="349">
        <f t="shared" si="15"/>
        <v>21.518999999999998</v>
      </c>
      <c r="J49" s="349">
        <f t="shared" si="64"/>
        <v>22.827000000000002</v>
      </c>
      <c r="K49" s="349">
        <f t="shared" si="64"/>
        <v>25.081</v>
      </c>
      <c r="L49" s="349">
        <f>V49</f>
        <v>26.055</v>
      </c>
      <c r="M49" s="349">
        <f>W49</f>
        <v>28.016999999999999</v>
      </c>
      <c r="N49" s="349">
        <f>X49</f>
        <v>29.186</v>
      </c>
      <c r="O49" s="349">
        <f>Y49</f>
        <v>30.241</v>
      </c>
      <c r="P49" s="351" t="s">
        <v>445</v>
      </c>
      <c r="Q49" s="347" t="str">
        <f t="shared" si="2"/>
        <v>09400C</v>
      </c>
      <c r="R49" s="348" t="str">
        <f t="shared" si="3"/>
        <v>Stock Worker</v>
      </c>
      <c r="S49" s="349">
        <f t="shared" si="57"/>
        <v>21.518999999999998</v>
      </c>
      <c r="T49" s="433">
        <f>ROUND(IF($P49="Y",((VLOOKUP($Q49,Rates2022,4,0)+LIUNA2023)*PercIncr2023)-LIUNA2023,VLOOKUP($Q49,Rates2022,4,0)),3)</f>
        <v>22.827000000000002</v>
      </c>
      <c r="U49" s="433">
        <f>ROUND(IF($P49="Y",((VLOOKUP($Q49,Rates2022,5,0)+LIUNA2023)*PercIncr2023)-LIUNA2023,VLOOKUP($Q49,Rates2022,5,0)),3)</f>
        <v>25.081</v>
      </c>
      <c r="V49" s="433">
        <f>ROUND(IF($P49="Y",((VLOOKUP($Q49,Rates2022,6,0)+LIUNA2023)*PercIncr2023)-LIUNA2023,VLOOKUP($Q49,Rates2022,6,0)),3)</f>
        <v>26.055</v>
      </c>
      <c r="W49" s="433">
        <f>ROUND(IF($P49="Y",((VLOOKUP($Q49,Rates2022,7,0)+LIUNA2023)*PercIncr2023)-LIUNA2023,VLOOKUP($Q49,Rates2022,7,0)),3)</f>
        <v>28.016999999999999</v>
      </c>
      <c r="X49" s="433">
        <f>ROUND(IF($P49="Y",((VLOOKUP($Q49,Rates2022,8,0)+LIUNA2023)*PercIncr2023)-LIUNA2023,VLOOKUP($Q49,Rates2022,8,0)),3)</f>
        <v>29.186</v>
      </c>
      <c r="Y49" s="433">
        <f>ROUND(IF($P49="Y",((VLOOKUP($Q49,Rates2022,9,0)+LIUNA2023)*PercIncr2023)-LIUNA2023,VLOOKUP($Q49,Rates2022,9,0)),3)</f>
        <v>30.241</v>
      </c>
      <c r="Z49" s="159">
        <f t="shared" si="7"/>
        <v>7</v>
      </c>
    </row>
    <row r="50" spans="1:27">
      <c r="A50" s="346" t="s">
        <v>118</v>
      </c>
      <c r="B50" s="347">
        <v>333</v>
      </c>
      <c r="C50" s="347">
        <v>7</v>
      </c>
      <c r="D50" s="347" t="s">
        <v>17</v>
      </c>
      <c r="E50" s="347" t="s">
        <v>18</v>
      </c>
      <c r="F50" s="346" t="s">
        <v>117</v>
      </c>
      <c r="G50" s="347" t="s">
        <v>142</v>
      </c>
      <c r="H50" s="348" t="s">
        <v>143</v>
      </c>
      <c r="I50" s="349">
        <f t="shared" si="15"/>
        <v>28.460999999999999</v>
      </c>
      <c r="J50" s="349">
        <f t="shared" si="64"/>
        <v>29.917999999999999</v>
      </c>
      <c r="K50" s="349">
        <f t="shared" si="64"/>
        <v>31.378</v>
      </c>
      <c r="L50" s="349">
        <f>V50</f>
        <v>32.832000000000001</v>
      </c>
      <c r="M50" s="349">
        <f>W50</f>
        <v>34.290999999999997</v>
      </c>
      <c r="N50" s="349">
        <f>X50</f>
        <v>35.753</v>
      </c>
      <c r="O50" s="349"/>
      <c r="P50" s="351" t="s">
        <v>445</v>
      </c>
      <c r="Q50" s="347" t="str">
        <f t="shared" si="2"/>
        <v>09284C</v>
      </c>
      <c r="R50" s="348" t="str">
        <f t="shared" si="3"/>
        <v xml:space="preserve">Stores Center Coordinator   </v>
      </c>
      <c r="S50" s="349">
        <f t="shared" si="57"/>
        <v>28.460999999999999</v>
      </c>
      <c r="T50" s="433">
        <f>ROUND(IF($P50="Y",((VLOOKUP($Q50,Rates2022,4,0)+LIUNA2023)*PercIncr2023)-LIUNA2023,VLOOKUP($Q50,Rates2022,4,0)),3)</f>
        <v>29.917999999999999</v>
      </c>
      <c r="U50" s="433">
        <f>ROUND(IF($P50="Y",((VLOOKUP($Q50,Rates2022,5,0)+LIUNA2023)*PercIncr2023)-LIUNA2023,VLOOKUP($Q50,Rates2022,5,0)),3)</f>
        <v>31.378</v>
      </c>
      <c r="V50" s="433">
        <f>ROUND(IF($P50="Y",((VLOOKUP($Q50,Rates2022,6,0)+LIUNA2023)*PercIncr2023)-LIUNA2023,VLOOKUP($Q50,Rates2022,6,0)),3)</f>
        <v>32.832000000000001</v>
      </c>
      <c r="W50" s="433">
        <f>ROUND(IF($P50="Y",((VLOOKUP($Q50,Rates2022,7,0)+LIUNA2023)*PercIncr2023)-LIUNA2023,VLOOKUP($Q50,Rates2022,7,0)),3)</f>
        <v>34.290999999999997</v>
      </c>
      <c r="X50" s="433">
        <f>ROUND(IF($P50="Y",((VLOOKUP($Q50,Rates2022,8,0)+LIUNA2023)*PercIncr2023)-LIUNA2023,VLOOKUP($Q50,Rates2022,8,0)),3)</f>
        <v>35.753</v>
      </c>
      <c r="Y50" s="433"/>
      <c r="Z50" s="159">
        <f t="shared" si="7"/>
        <v>6</v>
      </c>
    </row>
    <row r="51" spans="1:27">
      <c r="A51" s="219" t="s">
        <v>383</v>
      </c>
      <c r="B51" s="162"/>
      <c r="C51" s="162"/>
      <c r="D51" s="162" t="s">
        <v>17</v>
      </c>
      <c r="E51" s="162" t="s">
        <v>18</v>
      </c>
      <c r="F51" s="219" t="s">
        <v>383</v>
      </c>
      <c r="G51" s="162" t="s">
        <v>384</v>
      </c>
      <c r="H51" s="211" t="s">
        <v>511</v>
      </c>
      <c r="I51" s="269">
        <f t="shared" si="15"/>
        <v>39.293999999999997</v>
      </c>
      <c r="J51" s="269">
        <f t="shared" si="64"/>
        <v>0</v>
      </c>
      <c r="K51" s="269">
        <f t="shared" si="64"/>
        <v>0</v>
      </c>
      <c r="L51" s="269">
        <f>V51</f>
        <v>0</v>
      </c>
      <c r="M51" s="269"/>
      <c r="N51" s="269"/>
      <c r="O51" s="269"/>
      <c r="P51" s="430" t="s">
        <v>445</v>
      </c>
      <c r="Q51" s="286" t="str">
        <f t="shared" si="2"/>
        <v>52931C</v>
      </c>
      <c r="R51" s="309" t="str">
        <f t="shared" si="3"/>
        <v>Union Leader (Park Keeper Crew Leader)</v>
      </c>
      <c r="S51" s="436">
        <v>39.293999999999997</v>
      </c>
      <c r="T51" s="350"/>
      <c r="U51" s="284"/>
      <c r="V51" s="284"/>
      <c r="W51" s="284"/>
      <c r="X51" s="284"/>
      <c r="Y51" s="284"/>
      <c r="Z51" s="159">
        <f t="shared" si="7"/>
        <v>1</v>
      </c>
    </row>
    <row r="52" spans="1:27">
      <c r="A52" s="219" t="s">
        <v>512</v>
      </c>
      <c r="B52" s="162">
        <v>335</v>
      </c>
      <c r="C52" s="162">
        <v>7</v>
      </c>
      <c r="D52" s="162" t="s">
        <v>17</v>
      </c>
      <c r="E52" s="162" t="s">
        <v>18</v>
      </c>
      <c r="F52" s="219"/>
      <c r="G52" s="162" t="s">
        <v>513</v>
      </c>
      <c r="H52" s="211" t="s">
        <v>514</v>
      </c>
      <c r="I52" s="269">
        <f t="shared" ref="I52" si="67">S52</f>
        <v>32.741999999999997</v>
      </c>
      <c r="J52" s="269">
        <f t="shared" ref="J52" si="68">T52</f>
        <v>33.716999999999999</v>
      </c>
      <c r="K52" s="269">
        <f t="shared" ref="K52" si="69">U52</f>
        <v>34.72</v>
      </c>
      <c r="L52" s="269">
        <f t="shared" ref="L52" si="70">V52</f>
        <v>35.753</v>
      </c>
      <c r="M52" s="269">
        <f t="shared" ref="M52:M55" si="71">W52</f>
        <v>0</v>
      </c>
      <c r="N52" s="269">
        <f t="shared" ref="N52:N55" si="72">X52</f>
        <v>0</v>
      </c>
      <c r="O52" s="269">
        <f t="shared" ref="O52:O55" si="73">Y52</f>
        <v>0</v>
      </c>
      <c r="P52" s="430" t="s">
        <v>445</v>
      </c>
      <c r="Q52" s="286" t="str">
        <f t="shared" si="2"/>
        <v>53050C</v>
      </c>
      <c r="R52" s="309" t="str">
        <f t="shared" si="3"/>
        <v>Water Treatment Campus Coordinator</v>
      </c>
      <c r="S52" s="436">
        <v>32.741999999999997</v>
      </c>
      <c r="T52" s="284">
        <v>33.716999999999999</v>
      </c>
      <c r="U52" s="284">
        <v>34.72</v>
      </c>
      <c r="V52" s="284">
        <v>35.753</v>
      </c>
      <c r="W52" s="429"/>
      <c r="X52" s="429"/>
      <c r="Y52" s="429"/>
      <c r="Z52" s="159">
        <f t="shared" si="7"/>
        <v>4</v>
      </c>
    </row>
    <row r="53" spans="1:27">
      <c r="A53" s="219">
        <v>22</v>
      </c>
      <c r="B53" s="162">
        <v>265</v>
      </c>
      <c r="C53" s="162">
        <v>5</v>
      </c>
      <c r="D53" s="162" t="s">
        <v>17</v>
      </c>
      <c r="E53" s="162" t="s">
        <v>18</v>
      </c>
      <c r="F53" s="219">
        <v>22</v>
      </c>
      <c r="G53" s="162" t="s">
        <v>144</v>
      </c>
      <c r="H53" s="211" t="s">
        <v>145</v>
      </c>
      <c r="I53" s="269">
        <f>S53</f>
        <v>32.476999999999997</v>
      </c>
      <c r="J53" s="269">
        <f>T53</f>
        <v>33.125</v>
      </c>
      <c r="K53" s="269">
        <f>U53</f>
        <v>33.771999999999998</v>
      </c>
      <c r="L53" s="269">
        <f>V53</f>
        <v>34.42</v>
      </c>
      <c r="M53" s="269">
        <f t="shared" si="71"/>
        <v>0</v>
      </c>
      <c r="N53" s="269">
        <f t="shared" si="72"/>
        <v>0</v>
      </c>
      <c r="O53" s="269">
        <f t="shared" si="73"/>
        <v>0</v>
      </c>
      <c r="P53" s="430" t="s">
        <v>445</v>
      </c>
      <c r="Q53" s="286" t="str">
        <f t="shared" si="2"/>
        <v>10908C</v>
      </c>
      <c r="R53" s="309" t="str">
        <f t="shared" si="3"/>
        <v>Water Treatment Operator* (see below for Step)</v>
      </c>
      <c r="S53" s="322">
        <f>ROUND(IF($P53="Y",((VLOOKUP($Q53,Rates2022,3,0)+LIUNA2023)*PercIncr2023)-LIUNA2023,VLOOKUP($Q53,Rates2022,3,0)),3)</f>
        <v>32.476999999999997</v>
      </c>
      <c r="T53" s="284">
        <f>ROUND(IF($P53="Y",((VLOOKUP($Q53,Rates2022,4,0)+LIUNA2023)*PercIncr2023)-LIUNA2023,VLOOKUP($Q53,Rates2022,4,0)),3)</f>
        <v>33.125</v>
      </c>
      <c r="U53" s="284">
        <f>ROUND(IF($P53="Y",((VLOOKUP($Q53,Rates2022,5,0)+LIUNA2023)*PercIncr2023)-LIUNA2023,VLOOKUP($Q53,Rates2022,5,0)),3)</f>
        <v>33.771999999999998</v>
      </c>
      <c r="V53" s="284">
        <f>ROUND(IF($P53="Y",((VLOOKUP($Q53,Rates2022,6,0)+LIUNA2023)*PercIncr2023)-LIUNA2023,VLOOKUP($Q53,Rates2022,6,0)),3)</f>
        <v>34.42</v>
      </c>
      <c r="W53" s="429"/>
      <c r="X53" s="429"/>
      <c r="Y53" s="429"/>
      <c r="Z53" s="159">
        <f t="shared" si="7"/>
        <v>4</v>
      </c>
      <c r="AA53" s="414">
        <v>39.65</v>
      </c>
    </row>
    <row r="54" spans="1:27">
      <c r="A54" s="219" t="s">
        <v>65</v>
      </c>
      <c r="B54" s="162">
        <v>253</v>
      </c>
      <c r="C54" s="162">
        <v>5</v>
      </c>
      <c r="D54" s="162" t="s">
        <v>17</v>
      </c>
      <c r="E54" s="162" t="s">
        <v>18</v>
      </c>
      <c r="F54" s="219" t="s">
        <v>65</v>
      </c>
      <c r="G54" s="162" t="s">
        <v>146</v>
      </c>
      <c r="H54" s="211" t="s">
        <v>147</v>
      </c>
      <c r="I54" s="269">
        <f t="shared" ref="I54:L55" si="74">S54</f>
        <v>26.92</v>
      </c>
      <c r="J54" s="269">
        <f t="shared" si="74"/>
        <v>27.821999999999999</v>
      </c>
      <c r="K54" s="269">
        <f t="shared" si="74"/>
        <v>28.757000000000001</v>
      </c>
      <c r="L54" s="269">
        <f t="shared" si="74"/>
        <v>29.908999999999999</v>
      </c>
      <c r="M54" s="269">
        <f t="shared" si="71"/>
        <v>0</v>
      </c>
      <c r="N54" s="269">
        <f t="shared" si="72"/>
        <v>0</v>
      </c>
      <c r="O54" s="269">
        <f t="shared" si="73"/>
        <v>0</v>
      </c>
      <c r="P54" s="430" t="s">
        <v>445</v>
      </c>
      <c r="Q54" s="286" t="str">
        <f t="shared" si="2"/>
        <v>11030C</v>
      </c>
      <c r="R54" s="348" t="str">
        <f t="shared" si="3"/>
        <v>Yard Coordinator I</v>
      </c>
      <c r="S54" s="322">
        <f>ROUND(IF($P54="Y",((VLOOKUP($Q54,Rates2022,3,0)+LIUNA2023)*PercIncr2023)-LIUNA2023,VLOOKUP($Q54,Rates2022,3,0)),3)</f>
        <v>26.92</v>
      </c>
      <c r="T54" s="284">
        <f>ROUND(IF($P54="Y",((VLOOKUP($Q54,Rates2022,4,0)+LIUNA2023)*PercIncr2023)-LIUNA2023,VLOOKUP($Q54,Rates2022,4,0)),3)</f>
        <v>27.821999999999999</v>
      </c>
      <c r="U54" s="284">
        <f>ROUND(IF($P54="Y",((VLOOKUP($Q54,Rates2022,5,0)+LIUNA2023)*PercIncr2023)-LIUNA2023,VLOOKUP($Q54,Rates2022,5,0)),3)</f>
        <v>28.757000000000001</v>
      </c>
      <c r="V54" s="284">
        <f>ROUND(IF($P54="Y",((VLOOKUP($Q54,Rates2022,6,0)+LIUNA2023)*PercIncr2023)-LIUNA2023,VLOOKUP($Q54,Rates2022,6,0)),3)</f>
        <v>29.908999999999999</v>
      </c>
      <c r="W54" s="429"/>
      <c r="X54" s="429"/>
      <c r="Y54" s="429"/>
      <c r="Z54" s="159">
        <f t="shared" si="7"/>
        <v>4</v>
      </c>
    </row>
    <row r="55" spans="1:27">
      <c r="A55" s="219">
        <v>13</v>
      </c>
      <c r="B55" s="162">
        <v>275</v>
      </c>
      <c r="C55" s="162">
        <v>6</v>
      </c>
      <c r="D55" s="162" t="s">
        <v>17</v>
      </c>
      <c r="E55" s="162" t="s">
        <v>18</v>
      </c>
      <c r="F55" s="219">
        <v>13</v>
      </c>
      <c r="G55" s="162" t="s">
        <v>148</v>
      </c>
      <c r="H55" s="211" t="s">
        <v>149</v>
      </c>
      <c r="I55" s="269">
        <f t="shared" si="74"/>
        <v>28.366</v>
      </c>
      <c r="J55" s="269">
        <f t="shared" si="74"/>
        <v>29.76</v>
      </c>
      <c r="K55" s="269">
        <f t="shared" si="74"/>
        <v>31.13</v>
      </c>
      <c r="L55" s="269">
        <f t="shared" si="74"/>
        <v>32.601999999999997</v>
      </c>
      <c r="M55" s="269">
        <f t="shared" si="71"/>
        <v>0</v>
      </c>
      <c r="N55" s="269">
        <f t="shared" si="72"/>
        <v>0</v>
      </c>
      <c r="O55" s="269">
        <f t="shared" si="73"/>
        <v>0</v>
      </c>
      <c r="P55" s="430" t="s">
        <v>445</v>
      </c>
      <c r="Q55" s="286" t="str">
        <f t="shared" si="2"/>
        <v>11040C</v>
      </c>
      <c r="R55" s="348" t="str">
        <f t="shared" si="3"/>
        <v>Yard Coordinator II</v>
      </c>
      <c r="S55" s="322">
        <f>ROUND(IF($P55="Y",((VLOOKUP($Q55,Rates2022,3,0)+LIUNA2023)*PercIncr2023)-LIUNA2023,VLOOKUP($Q55,Rates2022,3,0)),3)</f>
        <v>28.366</v>
      </c>
      <c r="T55" s="284">
        <f>ROUND(IF($P55="Y",((VLOOKUP($Q55,Rates2022,4,0)+LIUNA2023)*PercIncr2023)-LIUNA2023,VLOOKUP($Q55,Rates2022,4,0)),3)</f>
        <v>29.76</v>
      </c>
      <c r="U55" s="284">
        <f>ROUND(IF($P55="Y",((VLOOKUP($Q55,Rates2022,5,0)+LIUNA2023)*PercIncr2023)-LIUNA2023,VLOOKUP($Q55,Rates2022,5,0)),3)</f>
        <v>31.13</v>
      </c>
      <c r="V55" s="284">
        <f>ROUND(IF($P55="Y",((VLOOKUP($Q55,Rates2022,6,0)+LIUNA2023)*PercIncr2023)-LIUNA2023,VLOOKUP($Q55,Rates2022,6,0)),3)</f>
        <v>32.601999999999997</v>
      </c>
      <c r="W55" s="429"/>
      <c r="X55" s="429"/>
      <c r="Y55" s="429"/>
      <c r="Z55" s="159">
        <f t="shared" si="7"/>
        <v>4</v>
      </c>
    </row>
    <row r="56" spans="1:27">
      <c r="A56" s="219"/>
      <c r="C56" s="162"/>
      <c r="D56" s="209" t="s">
        <v>386</v>
      </c>
      <c r="E56" s="159"/>
      <c r="F56" s="219"/>
      <c r="G56" s="219"/>
      <c r="I56" s="162"/>
      <c r="J56" s="220"/>
      <c r="K56" s="220"/>
      <c r="L56" s="220"/>
      <c r="Q56" s="286"/>
      <c r="R56" s="309"/>
      <c r="S56" s="322"/>
      <c r="T56" s="284"/>
      <c r="U56" s="284"/>
      <c r="V56" s="284"/>
      <c r="W56" s="284"/>
      <c r="X56" s="284"/>
      <c r="Y56" s="284"/>
      <c r="Z56" s="159">
        <f t="shared" si="7"/>
        <v>0</v>
      </c>
    </row>
    <row r="57" spans="1:27">
      <c r="D57" s="165" t="str">
        <f>"NOTE that in addition to the above hourly wages, a LIUNA pension fund contribution of " &amp; TEXT(LIUNA2020,"$#.###")&amp;" per hour is contributed on behalf of eligible employees."</f>
        <v>NOTE that in addition to the above hourly wages, a LIUNA pension fund contribution of $1.74 per hour is contributed on behalf of eligible employees.</v>
      </c>
      <c r="E57" s="165"/>
      <c r="J57" s="162"/>
      <c r="K57" s="162"/>
      <c r="L57" s="162"/>
      <c r="M57" s="162"/>
      <c r="N57" s="162"/>
      <c r="P57" s="286" t="s">
        <v>445</v>
      </c>
      <c r="Q57" s="289" t="s">
        <v>469</v>
      </c>
      <c r="R57" s="426" t="s">
        <v>470</v>
      </c>
      <c r="S57" s="322">
        <v>1.74</v>
      </c>
      <c r="T57" s="284"/>
      <c r="U57" s="284"/>
      <c r="V57" s="284"/>
      <c r="W57" s="284"/>
      <c r="X57" s="284"/>
      <c r="Y57" s="284"/>
      <c r="Z57" s="159">
        <f t="shared" si="7"/>
        <v>1</v>
      </c>
    </row>
    <row r="58" spans="1:27">
      <c r="D58" s="165"/>
      <c r="E58" s="165"/>
      <c r="J58" s="162"/>
      <c r="K58" s="162"/>
      <c r="L58" s="162"/>
      <c r="M58" s="162"/>
      <c r="N58" s="162"/>
      <c r="S58" s="322"/>
      <c r="T58" s="284"/>
      <c r="U58" s="284"/>
      <c r="V58" s="284"/>
      <c r="W58" s="284"/>
      <c r="X58" s="284"/>
      <c r="Y58" s="284"/>
    </row>
    <row r="59" spans="1:27">
      <c r="A59" s="268"/>
      <c r="D59" s="268"/>
      <c r="E59" s="268"/>
      <c r="F59" s="268"/>
      <c r="G59" s="268"/>
      <c r="H59" s="268"/>
      <c r="I59" s="268"/>
      <c r="J59" s="268"/>
      <c r="K59" s="268"/>
      <c r="L59" s="268"/>
      <c r="M59" s="268"/>
      <c r="N59" s="268"/>
      <c r="O59" s="268"/>
      <c r="S59" s="322"/>
      <c r="T59" s="284"/>
      <c r="U59" s="284"/>
      <c r="V59" s="284"/>
      <c r="W59" s="284"/>
      <c r="X59" s="284"/>
      <c r="Y59" s="284"/>
    </row>
    <row r="60" spans="1:27">
      <c r="A60" s="650"/>
      <c r="D60" s="650"/>
      <c r="E60" s="650"/>
      <c r="F60" s="650"/>
      <c r="G60" s="650"/>
      <c r="H60" s="650"/>
      <c r="I60" s="650"/>
      <c r="J60" s="650"/>
      <c r="K60" s="650"/>
      <c r="L60" s="650"/>
      <c r="M60" s="650"/>
      <c r="N60" s="650"/>
      <c r="O60" s="650"/>
      <c r="S60" s="322"/>
      <c r="T60" s="284"/>
      <c r="U60" s="284"/>
      <c r="V60" s="284"/>
      <c r="W60" s="284"/>
      <c r="X60" s="284"/>
      <c r="Y60" s="284"/>
    </row>
    <row r="61" spans="1:27">
      <c r="D61" s="234" t="s">
        <v>344</v>
      </c>
      <c r="E61" s="234"/>
      <c r="J61" s="162"/>
      <c r="K61" s="162"/>
      <c r="L61" s="162"/>
      <c r="M61" s="162"/>
      <c r="N61" s="162"/>
      <c r="R61" s="309"/>
      <c r="S61" s="322"/>
      <c r="T61" s="284"/>
      <c r="U61" s="284"/>
      <c r="V61" s="284"/>
      <c r="W61" s="284"/>
      <c r="X61" s="284"/>
      <c r="Y61" s="284"/>
    </row>
    <row r="62" spans="1:27">
      <c r="D62" s="234"/>
      <c r="E62" s="234"/>
      <c r="G62" s="162" t="s">
        <v>154</v>
      </c>
      <c r="H62" s="211" t="s">
        <v>457</v>
      </c>
      <c r="J62" s="162"/>
      <c r="K62" s="162"/>
      <c r="L62" s="162"/>
      <c r="M62" s="162"/>
      <c r="N62" s="162"/>
      <c r="R62" s="309"/>
      <c r="S62" s="322"/>
      <c r="T62" s="284"/>
      <c r="U62" s="284"/>
      <c r="V62" s="284"/>
      <c r="W62" s="284"/>
      <c r="X62" s="284"/>
      <c r="Y62" s="284"/>
    </row>
    <row r="63" spans="1:27">
      <c r="D63" s="234"/>
      <c r="E63" s="234"/>
      <c r="G63" s="162" t="s">
        <v>156</v>
      </c>
      <c r="H63" s="211" t="s">
        <v>458</v>
      </c>
      <c r="J63" s="162"/>
      <c r="K63" s="162"/>
      <c r="L63" s="162"/>
      <c r="M63" s="162"/>
      <c r="N63" s="162"/>
      <c r="R63" s="309"/>
      <c r="S63" s="322"/>
      <c r="T63" s="284"/>
      <c r="U63" s="284"/>
      <c r="V63" s="284"/>
      <c r="W63" s="284"/>
      <c r="X63" s="284"/>
      <c r="Y63" s="284"/>
    </row>
    <row r="64" spans="1:27">
      <c r="D64" s="234"/>
      <c r="E64" s="234"/>
      <c r="G64" s="162" t="s">
        <v>158</v>
      </c>
      <c r="H64" s="211" t="s">
        <v>459</v>
      </c>
      <c r="J64" s="162"/>
      <c r="K64" s="162"/>
      <c r="L64" s="162"/>
      <c r="M64" s="162"/>
      <c r="N64" s="162"/>
      <c r="R64" s="309"/>
      <c r="S64" s="322"/>
      <c r="T64" s="284"/>
      <c r="U64" s="284"/>
      <c r="V64" s="284"/>
      <c r="W64" s="284"/>
      <c r="X64" s="284"/>
      <c r="Y64" s="284"/>
    </row>
    <row r="65" spans="1:25">
      <c r="D65" s="165"/>
      <c r="E65" s="165"/>
      <c r="J65" s="162"/>
      <c r="K65" s="162"/>
      <c r="L65" s="162"/>
      <c r="M65" s="162"/>
      <c r="N65" s="162"/>
      <c r="S65" s="322"/>
      <c r="T65" s="284"/>
      <c r="U65" s="284"/>
      <c r="V65" s="284"/>
      <c r="W65" s="284"/>
      <c r="X65" s="284"/>
      <c r="Y65" s="284"/>
    </row>
    <row r="66" spans="1:25">
      <c r="D66" s="234" t="s">
        <v>345</v>
      </c>
      <c r="E66" s="234"/>
      <c r="J66" s="162"/>
      <c r="K66" s="162"/>
      <c r="L66" s="162"/>
      <c r="M66" s="162"/>
      <c r="N66" s="162"/>
      <c r="Q66" s="279"/>
      <c r="R66" s="309"/>
      <c r="S66" s="322"/>
      <c r="T66" s="284"/>
      <c r="U66" s="284"/>
      <c r="V66" s="284"/>
      <c r="W66" s="284"/>
      <c r="X66" s="284"/>
      <c r="Y66" s="284"/>
    </row>
    <row r="67" spans="1:25">
      <c r="D67" s="163"/>
      <c r="E67" s="163"/>
      <c r="G67" s="162" t="s">
        <v>154</v>
      </c>
      <c r="H67" s="421" t="s">
        <v>515</v>
      </c>
      <c r="J67" s="162"/>
      <c r="K67" s="162"/>
      <c r="L67" s="162"/>
      <c r="M67" s="162"/>
      <c r="N67" s="162"/>
      <c r="Q67" s="279"/>
      <c r="R67" s="309"/>
      <c r="S67" s="322"/>
      <c r="T67" s="284"/>
      <c r="U67" s="284"/>
      <c r="V67" s="284"/>
      <c r="W67" s="284"/>
      <c r="X67" s="284"/>
      <c r="Y67" s="284"/>
    </row>
    <row r="68" spans="1:25">
      <c r="D68" s="163"/>
      <c r="E68" s="163"/>
      <c r="G68" s="162" t="s">
        <v>156</v>
      </c>
      <c r="H68" s="421" t="s">
        <v>457</v>
      </c>
      <c r="J68" s="162"/>
      <c r="K68" s="162"/>
      <c r="L68" s="162"/>
      <c r="M68" s="162"/>
      <c r="N68" s="162"/>
      <c r="Q68" s="279"/>
      <c r="R68" s="309"/>
      <c r="S68" s="322"/>
      <c r="T68" s="284"/>
      <c r="U68" s="284"/>
      <c r="V68" s="284"/>
      <c r="W68" s="284"/>
      <c r="X68" s="284"/>
      <c r="Y68" s="284"/>
    </row>
    <row r="69" spans="1:25">
      <c r="D69" s="163"/>
      <c r="E69" s="163"/>
      <c r="G69" s="162" t="s">
        <v>158</v>
      </c>
      <c r="H69" s="421" t="s">
        <v>458</v>
      </c>
      <c r="J69" s="162"/>
      <c r="K69" s="162"/>
      <c r="L69" s="162"/>
      <c r="M69" s="162"/>
      <c r="N69" s="162"/>
      <c r="O69" s="162"/>
      <c r="Q69" s="279"/>
      <c r="R69" s="309"/>
      <c r="S69" s="322"/>
      <c r="T69" s="284"/>
      <c r="U69" s="284"/>
      <c r="V69" s="284"/>
      <c r="W69" s="284"/>
      <c r="X69" s="284"/>
      <c r="Y69" s="284"/>
    </row>
    <row r="70" spans="1:25">
      <c r="D70" s="163"/>
      <c r="E70" s="163"/>
      <c r="G70" s="162" t="s">
        <v>170</v>
      </c>
      <c r="H70" s="421" t="s">
        <v>459</v>
      </c>
      <c r="J70" s="162"/>
      <c r="K70" s="162"/>
      <c r="L70" s="162"/>
      <c r="M70" s="162"/>
      <c r="N70" s="162"/>
      <c r="Q70" s="279"/>
      <c r="R70" s="309"/>
      <c r="S70" s="322"/>
      <c r="T70" s="284"/>
      <c r="U70" s="284"/>
      <c r="V70" s="284"/>
      <c r="W70" s="284"/>
      <c r="X70" s="284"/>
      <c r="Y70" s="284"/>
    </row>
    <row r="71" spans="1:25">
      <c r="D71" s="163"/>
      <c r="E71" s="163"/>
      <c r="G71" s="162"/>
      <c r="J71" s="162"/>
      <c r="K71" s="162"/>
      <c r="L71" s="162"/>
      <c r="M71" s="162"/>
      <c r="N71" s="162"/>
      <c r="Q71" s="279"/>
      <c r="R71" s="309"/>
      <c r="S71" s="322"/>
      <c r="T71" s="284"/>
      <c r="U71" s="284"/>
      <c r="V71" s="284"/>
      <c r="W71" s="284"/>
      <c r="X71" s="284"/>
      <c r="Y71" s="284"/>
    </row>
    <row r="72" spans="1:25">
      <c r="A72" s="83"/>
      <c r="D72" s="235" t="s">
        <v>346</v>
      </c>
      <c r="E72" s="163"/>
      <c r="F72" s="83"/>
      <c r="G72" s="83"/>
      <c r="J72" s="162"/>
      <c r="K72" s="162"/>
      <c r="L72" s="162"/>
      <c r="M72" s="162"/>
      <c r="N72" s="162"/>
      <c r="S72" s="322"/>
      <c r="T72" s="284"/>
      <c r="U72" s="284"/>
      <c r="V72" s="284"/>
      <c r="W72" s="284"/>
      <c r="X72" s="284"/>
      <c r="Y72" s="284"/>
    </row>
    <row r="73" spans="1:25">
      <c r="D73" s="317" t="s">
        <v>447</v>
      </c>
      <c r="F73" s="159" t="s">
        <v>174</v>
      </c>
      <c r="G73" s="163" t="str">
        <f>"Plant Service Workers who hold a Class 'D' Water Supply Certificate shall receive an additional "&amp;TEXT(S73,"$0.000")&amp;" per hour for all hours paid."</f>
        <v>Plant Service Workers who hold a Class 'D' Water Supply Certificate shall receive an additional $0.279 per hour for all hours paid.</v>
      </c>
      <c r="H73" s="159"/>
      <c r="J73" s="162"/>
      <c r="K73" s="162"/>
      <c r="L73" s="162"/>
      <c r="M73" s="162"/>
      <c r="N73" s="162"/>
      <c r="P73" s="279" t="s">
        <v>445</v>
      </c>
      <c r="Q73" s="279" t="s">
        <v>389</v>
      </c>
      <c r="R73" s="279" t="s">
        <v>390</v>
      </c>
      <c r="S73" s="322">
        <f>IF(P73="Y",VLOOKUP(Q73,Rates2022,3,0)*PercIncr2023,VLOOKUP(Q73,Rates2022,3,0))</f>
        <v>0.27927333784902336</v>
      </c>
      <c r="T73" s="284"/>
      <c r="U73" s="284"/>
      <c r="V73" s="284"/>
      <c r="W73" s="284"/>
      <c r="X73" s="284"/>
      <c r="Y73" s="284"/>
    </row>
    <row r="74" spans="1:25">
      <c r="D74" s="317"/>
      <c r="G74" s="422" t="s">
        <v>516</v>
      </c>
      <c r="H74" s="163"/>
      <c r="J74" s="162"/>
      <c r="K74" s="162"/>
      <c r="L74" s="162"/>
      <c r="M74" s="162"/>
      <c r="N74" s="162"/>
      <c r="Q74" s="279"/>
      <c r="R74" s="279"/>
      <c r="S74" s="322"/>
      <c r="T74" s="284"/>
      <c r="U74" s="284"/>
      <c r="V74" s="284"/>
      <c r="W74" s="284"/>
      <c r="X74" s="284"/>
      <c r="Y74" s="284"/>
    </row>
    <row r="75" spans="1:25">
      <c r="D75" s="317"/>
      <c r="G75" s="422" t="s">
        <v>517</v>
      </c>
      <c r="H75" s="163"/>
      <c r="I75" s="238">
        <f>S75</f>
        <v>0.27900000000000003</v>
      </c>
      <c r="J75" s="162"/>
      <c r="K75" s="162"/>
      <c r="L75" s="162"/>
      <c r="M75" s="162"/>
      <c r="N75" s="162"/>
      <c r="P75" s="279" t="s">
        <v>445</v>
      </c>
      <c r="Q75" s="279" t="s">
        <v>518</v>
      </c>
      <c r="R75" s="279"/>
      <c r="S75" s="423">
        <v>0.27900000000000003</v>
      </c>
      <c r="T75" s="284"/>
      <c r="U75" s="284"/>
      <c r="V75" s="284"/>
      <c r="W75" s="284"/>
      <c r="X75" s="284"/>
      <c r="Y75" s="284"/>
    </row>
    <row r="76" spans="1:25">
      <c r="D76" s="317"/>
      <c r="G76" s="422" t="s">
        <v>519</v>
      </c>
      <c r="H76" s="163"/>
      <c r="I76" s="238">
        <f t="shared" ref="I76:I78" si="75">S76</f>
        <v>0.5</v>
      </c>
      <c r="J76" s="162"/>
      <c r="K76" s="162"/>
      <c r="L76" s="162"/>
      <c r="M76" s="162"/>
      <c r="N76" s="162"/>
      <c r="P76" s="279" t="s">
        <v>445</v>
      </c>
      <c r="Q76" s="279" t="s">
        <v>520</v>
      </c>
      <c r="R76" s="279"/>
      <c r="S76" s="423">
        <v>0.5</v>
      </c>
      <c r="T76" s="284"/>
      <c r="U76" s="284"/>
      <c r="V76" s="284"/>
      <c r="W76" s="284"/>
      <c r="X76" s="284"/>
      <c r="Y76" s="284"/>
    </row>
    <row r="77" spans="1:25">
      <c r="D77" s="317"/>
      <c r="G77" s="422" t="s">
        <v>521</v>
      </c>
      <c r="H77" s="163"/>
      <c r="I77" s="238">
        <f t="shared" si="75"/>
        <v>0.75</v>
      </c>
      <c r="J77" s="162"/>
      <c r="K77" s="162"/>
      <c r="L77" s="162"/>
      <c r="M77" s="162"/>
      <c r="N77" s="162"/>
      <c r="P77" s="279" t="s">
        <v>445</v>
      </c>
      <c r="Q77" s="279" t="s">
        <v>522</v>
      </c>
      <c r="R77" s="279"/>
      <c r="S77" s="423">
        <v>0.75</v>
      </c>
      <c r="T77" s="284"/>
      <c r="U77" s="284"/>
      <c r="V77" s="284"/>
      <c r="W77" s="284"/>
      <c r="X77" s="284"/>
      <c r="Y77" s="284"/>
    </row>
    <row r="78" spans="1:25">
      <c r="D78" s="317"/>
      <c r="G78" s="422" t="s">
        <v>523</v>
      </c>
      <c r="H78" s="163"/>
      <c r="I78" s="238">
        <f t="shared" si="75"/>
        <v>1</v>
      </c>
      <c r="J78" s="162"/>
      <c r="K78" s="162"/>
      <c r="L78" s="162"/>
      <c r="M78" s="162"/>
      <c r="N78" s="162"/>
      <c r="P78" s="279" t="s">
        <v>445</v>
      </c>
      <c r="Q78" s="279" t="s">
        <v>524</v>
      </c>
      <c r="R78" s="279"/>
      <c r="S78" s="423">
        <v>1</v>
      </c>
      <c r="T78" s="284"/>
      <c r="U78" s="284"/>
      <c r="V78" s="284"/>
      <c r="W78" s="284"/>
      <c r="X78" s="284"/>
      <c r="Y78" s="284"/>
    </row>
    <row r="79" spans="1:25">
      <c r="J79" s="162"/>
      <c r="K79" s="162"/>
      <c r="L79" s="162"/>
      <c r="M79" s="162"/>
      <c r="N79" s="162"/>
      <c r="Q79" s="279"/>
      <c r="R79" s="279"/>
      <c r="S79" s="322"/>
      <c r="T79" s="284"/>
      <c r="U79" s="284"/>
      <c r="V79" s="284"/>
      <c r="W79" s="284"/>
      <c r="X79" s="284"/>
      <c r="Y79" s="284"/>
    </row>
    <row r="80" spans="1:25">
      <c r="D80" s="163" t="s">
        <v>525</v>
      </c>
      <c r="E80" s="314"/>
      <c r="F80" s="315"/>
      <c r="G80" s="315"/>
      <c r="H80" s="316"/>
      <c r="J80" s="162"/>
      <c r="K80" s="162"/>
      <c r="L80" s="162"/>
      <c r="M80" s="162"/>
      <c r="N80" s="162"/>
      <c r="Q80" s="279"/>
      <c r="R80" s="279"/>
      <c r="S80" s="322"/>
      <c r="T80" s="284"/>
      <c r="U80" s="284"/>
      <c r="V80" s="284"/>
      <c r="W80" s="284"/>
      <c r="X80" s="284"/>
      <c r="Y80" s="284"/>
    </row>
    <row r="81" spans="1:25">
      <c r="D81" s="163" t="s">
        <v>176</v>
      </c>
      <c r="E81" s="163"/>
      <c r="J81" s="162"/>
      <c r="K81" s="162"/>
      <c r="L81" s="162"/>
      <c r="M81" s="162"/>
      <c r="N81" s="162"/>
      <c r="Q81" s="279"/>
      <c r="R81" s="279"/>
      <c r="S81" s="322"/>
      <c r="T81" s="284"/>
      <c r="U81" s="284"/>
      <c r="V81" s="284"/>
      <c r="W81" s="284"/>
      <c r="X81" s="284"/>
      <c r="Y81" s="284"/>
    </row>
    <row r="82" spans="1:25">
      <c r="H82" s="160"/>
      <c r="I82" s="83"/>
      <c r="J82" s="162"/>
      <c r="K82" s="162"/>
      <c r="L82" s="162"/>
      <c r="M82" s="162"/>
      <c r="N82" s="162"/>
      <c r="Q82" s="279"/>
      <c r="R82" s="279"/>
      <c r="S82" s="322"/>
      <c r="T82" s="284"/>
      <c r="U82" s="284"/>
      <c r="V82" s="284"/>
      <c r="W82" s="284"/>
      <c r="X82" s="284"/>
      <c r="Y82" s="284"/>
    </row>
    <row r="83" spans="1:25">
      <c r="D83" s="235" t="s">
        <v>526</v>
      </c>
      <c r="E83" s="234"/>
      <c r="H83" s="159"/>
      <c r="I83" s="83"/>
      <c r="J83" s="83"/>
      <c r="K83" s="83"/>
      <c r="L83" s="161"/>
      <c r="M83" s="162"/>
      <c r="N83" s="162"/>
      <c r="P83" s="279" t="s">
        <v>445</v>
      </c>
      <c r="Q83" s="279" t="s">
        <v>391</v>
      </c>
      <c r="R83" s="279" t="s">
        <v>392</v>
      </c>
      <c r="S83" s="322">
        <f>IF(P83="Y",VLOOKUP(Q83,Rates2022,3,0)*PercIncr2023,VLOOKUP(Q83,Rates2022,3,0))</f>
        <v>2.0792015968828119</v>
      </c>
      <c r="T83" s="284"/>
      <c r="U83" s="284"/>
      <c r="V83" s="284"/>
      <c r="W83" s="284"/>
      <c r="X83" s="284"/>
      <c r="Y83" s="284"/>
    </row>
    <row r="84" spans="1:25">
      <c r="D84" s="159" t="s">
        <v>527</v>
      </c>
      <c r="E84" s="234"/>
      <c r="H84" s="159"/>
      <c r="I84" s="83"/>
      <c r="J84" s="83"/>
      <c r="K84" s="83"/>
      <c r="L84" s="161"/>
      <c r="M84" s="162"/>
      <c r="N84" s="162"/>
      <c r="Q84" s="279"/>
      <c r="R84" s="279"/>
      <c r="S84" s="322"/>
      <c r="T84" s="284"/>
      <c r="U84" s="284"/>
      <c r="V84" s="284"/>
      <c r="W84" s="284"/>
      <c r="X84" s="284"/>
      <c r="Y84" s="284"/>
    </row>
    <row r="85" spans="1:25">
      <c r="D85" s="163" t="str">
        <f>"duties, and shall receive a premium of "&amp;TEXT(S83,"$0.000" )&amp;" per hour on a 'as worked' basis when so assigned."</f>
        <v>duties, and shall receive a premium of $2.079 per hour on a 'as worked' basis when so assigned.</v>
      </c>
      <c r="E85" s="159"/>
      <c r="H85" s="160"/>
      <c r="J85" s="83"/>
      <c r="K85" s="83"/>
      <c r="L85" s="161"/>
      <c r="M85" s="162"/>
      <c r="N85" s="162"/>
      <c r="Q85" s="279"/>
      <c r="R85" s="279"/>
      <c r="S85" s="322"/>
      <c r="T85" s="284"/>
      <c r="U85" s="284"/>
      <c r="V85" s="284"/>
      <c r="W85" s="284"/>
      <c r="X85" s="284"/>
      <c r="Y85" s="284"/>
    </row>
    <row r="86" spans="1:25">
      <c r="D86" s="163"/>
      <c r="E86" s="159"/>
      <c r="H86" s="160"/>
      <c r="J86" s="83"/>
      <c r="K86" s="83"/>
      <c r="L86" s="161"/>
      <c r="M86" s="162"/>
      <c r="N86" s="162"/>
      <c r="Q86" s="279"/>
      <c r="R86" s="279"/>
      <c r="S86" s="322"/>
      <c r="T86" s="284"/>
      <c r="U86" s="284"/>
      <c r="V86" s="284"/>
      <c r="W86" s="284"/>
      <c r="X86" s="284"/>
      <c r="Y86" s="284"/>
    </row>
    <row r="87" spans="1:25">
      <c r="D87" s="237" t="s">
        <v>242</v>
      </c>
      <c r="E87" s="217"/>
      <c r="Q87" s="279"/>
      <c r="R87" s="279"/>
      <c r="S87" s="322"/>
      <c r="T87" s="284"/>
      <c r="U87" s="284"/>
      <c r="V87" s="284"/>
      <c r="W87" s="284"/>
      <c r="X87" s="284"/>
      <c r="Y87" s="284"/>
    </row>
    <row r="88" spans="1:25">
      <c r="D88" s="238" t="s">
        <v>351</v>
      </c>
      <c r="E88" s="238"/>
      <c r="H88" s="217"/>
      <c r="I88" s="209"/>
      <c r="J88" s="213"/>
      <c r="Q88" s="279"/>
      <c r="R88" s="279"/>
      <c r="S88" s="322"/>
      <c r="T88" s="284"/>
      <c r="U88" s="284"/>
      <c r="V88" s="284"/>
      <c r="W88" s="284"/>
      <c r="X88" s="284"/>
      <c r="Y88" s="284"/>
    </row>
    <row r="89" spans="1:25">
      <c r="D89" s="238" t="str">
        <f>"premium of "&amp;TEXT(S89,"$0.000")&amp;" per hour for all hours spent training shall be paid.  The employer will establish strict assignment protocol."</f>
        <v>premium of $3.500 per hour for all hours spent training shall be paid.  The employer will establish strict assignment protocol.</v>
      </c>
      <c r="E89" s="238"/>
      <c r="H89" s="217"/>
      <c r="I89" s="209"/>
      <c r="P89" s="279" t="s">
        <v>445</v>
      </c>
      <c r="Q89" s="437" t="s">
        <v>394</v>
      </c>
      <c r="R89" s="437" t="s">
        <v>395</v>
      </c>
      <c r="S89" s="322">
        <f>IF(P89="Y",VLOOKUP(Q89,Rates2022,3,0)*PercIncr2023,VLOOKUP(Q89,Rates2022,3,0))</f>
        <v>3.4998534699239614</v>
      </c>
      <c r="T89" s="284"/>
      <c r="U89" s="284"/>
      <c r="V89" s="284"/>
      <c r="W89" s="284"/>
      <c r="X89" s="284"/>
      <c r="Y89" s="284"/>
    </row>
    <row r="90" spans="1:25">
      <c r="D90" s="238"/>
      <c r="E90" s="238"/>
      <c r="I90" s="162"/>
      <c r="J90" s="220"/>
      <c r="M90" s="220"/>
      <c r="Q90" s="279"/>
      <c r="R90" s="279"/>
      <c r="S90" s="322"/>
      <c r="T90" s="284"/>
      <c r="U90" s="284"/>
      <c r="V90" s="284"/>
      <c r="W90" s="284"/>
      <c r="X90" s="284"/>
      <c r="Y90" s="284"/>
    </row>
    <row r="91" spans="1:25">
      <c r="A91" s="209"/>
      <c r="D91" s="237" t="s">
        <v>246</v>
      </c>
      <c r="E91" s="217"/>
      <c r="F91" s="209"/>
      <c r="G91" s="209"/>
      <c r="I91" s="162"/>
      <c r="J91" s="220"/>
      <c r="M91" s="220"/>
      <c r="Q91" s="279"/>
      <c r="R91" s="279"/>
      <c r="S91" s="322"/>
      <c r="T91" s="284"/>
      <c r="U91" s="284"/>
      <c r="V91" s="284"/>
      <c r="W91" s="284"/>
      <c r="X91" s="284"/>
      <c r="Y91" s="284"/>
    </row>
    <row r="92" spans="1:25">
      <c r="A92" s="209"/>
      <c r="D92" s="318" t="s">
        <v>450</v>
      </c>
      <c r="E92" s="238"/>
      <c r="F92" s="209"/>
      <c r="G92" s="209"/>
      <c r="H92" s="159"/>
      <c r="K92" s="240"/>
      <c r="L92" s="211"/>
      <c r="M92" s="162"/>
      <c r="N92" s="162"/>
      <c r="P92" s="279" t="s">
        <v>445</v>
      </c>
      <c r="Q92" s="279" t="s">
        <v>398</v>
      </c>
      <c r="R92" s="279" t="s">
        <v>399</v>
      </c>
      <c r="S92" s="322">
        <f>IF(P92="Y",VLOOKUP(Q92,Rates2022,3,0)*PercIncr2023,VLOOKUP(Q92,Rates2022,3,0))</f>
        <v>0.89061863677499986</v>
      </c>
      <c r="T92" s="284"/>
      <c r="U92" s="284"/>
      <c r="V92" s="284"/>
      <c r="W92" s="284"/>
      <c r="X92" s="284"/>
      <c r="Y92" s="284"/>
    </row>
    <row r="93" spans="1:25">
      <c r="D93" s="160" t="str">
        <f>"Shall receive a premium of "&amp;TEXT(S92,"$0.000")&amp;" per hour for all hours worked performing Bio-Hazard Clean-up duties. "</f>
        <v xml:space="preserve">Shall receive a premium of $0.891 per hour for all hours worked performing Bio-Hazard Clean-up duties. </v>
      </c>
      <c r="E93" s="159"/>
      <c r="H93" s="160"/>
      <c r="J93" s="83"/>
      <c r="K93" s="83"/>
      <c r="L93" s="161"/>
      <c r="M93" s="162"/>
      <c r="N93" s="162"/>
      <c r="S93" s="322"/>
      <c r="T93" s="284"/>
      <c r="U93" s="284"/>
      <c r="V93" s="284"/>
      <c r="W93" s="284"/>
      <c r="X93" s="284"/>
      <c r="Y93" s="284"/>
    </row>
    <row r="94" spans="1:25">
      <c r="D94" s="160"/>
      <c r="E94" s="159"/>
      <c r="H94" s="160"/>
      <c r="J94" s="83"/>
      <c r="K94" s="83"/>
      <c r="L94" s="161"/>
      <c r="M94" s="162"/>
      <c r="N94" s="162"/>
      <c r="S94" s="322"/>
      <c r="T94" s="284"/>
      <c r="U94" s="284"/>
      <c r="V94" s="284"/>
      <c r="W94" s="284"/>
      <c r="X94" s="284"/>
      <c r="Y94" s="284"/>
    </row>
    <row r="95" spans="1:25">
      <c r="A95" s="83"/>
      <c r="D95" s="166" t="s">
        <v>400</v>
      </c>
      <c r="E95" s="166"/>
      <c r="F95" s="83"/>
      <c r="G95" s="83"/>
      <c r="H95" s="160"/>
      <c r="J95" s="241"/>
      <c r="K95" s="241"/>
      <c r="L95" s="242"/>
      <c r="M95" s="162"/>
      <c r="N95" s="162"/>
      <c r="Q95" s="279"/>
      <c r="R95" s="279"/>
      <c r="S95" s="322"/>
      <c r="T95" s="284"/>
      <c r="U95" s="438"/>
      <c r="V95" s="438"/>
      <c r="W95" s="438"/>
      <c r="X95" s="284"/>
      <c r="Y95" s="284"/>
    </row>
    <row r="96" spans="1:25" s="209" customFormat="1" ht="45">
      <c r="A96" s="243"/>
      <c r="D96" s="291" t="s">
        <v>188</v>
      </c>
      <c r="E96" s="241"/>
      <c r="F96" s="243"/>
      <c r="G96" s="243"/>
      <c r="H96" s="160"/>
      <c r="I96" s="159"/>
      <c r="L96" s="303" t="s">
        <v>401</v>
      </c>
      <c r="M96" s="440" t="s">
        <v>528</v>
      </c>
      <c r="N96" s="162"/>
      <c r="O96" s="159"/>
      <c r="P96" s="279"/>
      <c r="Q96" s="279"/>
      <c r="R96" s="279"/>
      <c r="S96" s="322"/>
      <c r="T96" s="284"/>
      <c r="U96" s="284"/>
      <c r="V96" s="284"/>
      <c r="W96" s="284"/>
      <c r="X96" s="438"/>
      <c r="Y96" s="438"/>
    </row>
    <row r="97" spans="1:25">
      <c r="A97" s="83"/>
      <c r="D97" s="160" t="s">
        <v>191</v>
      </c>
      <c r="E97" s="160"/>
      <c r="F97" s="83"/>
      <c r="G97" s="83"/>
      <c r="H97" s="160"/>
      <c r="L97" s="269">
        <f>S97</f>
        <v>0.51871109918291658</v>
      </c>
      <c r="M97" s="269"/>
      <c r="N97" s="162"/>
      <c r="P97" s="279" t="s">
        <v>445</v>
      </c>
      <c r="Q97" s="279" t="s">
        <v>403</v>
      </c>
      <c r="R97" s="279" t="s">
        <v>404</v>
      </c>
      <c r="S97" s="322">
        <f>IF(P97="Y",VLOOKUP(Q97,Rates2022,3,0)*PercIncr2023,VLOOKUP(Q97,Rates2022,3,0))</f>
        <v>0.51871109918291658</v>
      </c>
      <c r="T97" s="284"/>
      <c r="U97" s="284"/>
      <c r="V97" s="284"/>
      <c r="W97" s="284"/>
      <c r="X97" s="284"/>
      <c r="Y97" s="284"/>
    </row>
    <row r="98" spans="1:25">
      <c r="A98" s="83"/>
      <c r="D98" s="160" t="s">
        <v>355</v>
      </c>
      <c r="E98" s="160"/>
      <c r="F98" s="83"/>
      <c r="G98" s="83"/>
      <c r="H98" s="160"/>
      <c r="L98" s="269">
        <f>S98</f>
        <v>0.76373914677735832</v>
      </c>
      <c r="M98" s="269">
        <f>S99</f>
        <v>1.4511043788769808</v>
      </c>
      <c r="N98" s="162"/>
      <c r="P98" s="279" t="s">
        <v>445</v>
      </c>
      <c r="Q98" s="279" t="s">
        <v>405</v>
      </c>
      <c r="R98" s="279" t="s">
        <v>406</v>
      </c>
      <c r="S98" s="322">
        <f>IF(P98="Y",VLOOKUP(Q98,Rates2022,3,0)*PercIncr2023,VLOOKUP(Q98,Rates2022,3,0))</f>
        <v>0.76373914677735832</v>
      </c>
      <c r="T98" s="284"/>
      <c r="U98" s="284"/>
      <c r="V98" s="284"/>
      <c r="W98" s="284"/>
      <c r="X98" s="284"/>
      <c r="Y98" s="284"/>
    </row>
    <row r="99" spans="1:25">
      <c r="A99" s="83"/>
      <c r="D99" s="160"/>
      <c r="E99" s="160"/>
      <c r="F99" s="83"/>
      <c r="G99" s="83"/>
      <c r="H99" s="160"/>
      <c r="L99" s="220"/>
      <c r="M99" s="220"/>
      <c r="N99" s="162"/>
      <c r="P99" s="279" t="s">
        <v>445</v>
      </c>
      <c r="Q99" s="279" t="s">
        <v>407</v>
      </c>
      <c r="R99" s="279" t="s">
        <v>408</v>
      </c>
      <c r="S99" s="322">
        <f>IF(P99="Y",VLOOKUP(Q99,Rates2022,3,0)*PercIncr2023,VLOOKUP(Q99,Rates2022,3,0))</f>
        <v>1.4511043788769808</v>
      </c>
      <c r="T99" s="284"/>
      <c r="U99" s="284"/>
      <c r="V99" s="284"/>
      <c r="W99" s="284"/>
      <c r="X99" s="284"/>
      <c r="Y99" s="284"/>
    </row>
    <row r="100" spans="1:25">
      <c r="A100" s="83"/>
      <c r="D100" s="83" t="s">
        <v>193</v>
      </c>
      <c r="E100" s="83"/>
      <c r="F100" s="83"/>
      <c r="G100" s="83"/>
      <c r="H100" s="160"/>
      <c r="L100" s="269" t="s">
        <v>194</v>
      </c>
      <c r="M100" s="269">
        <f>S101</f>
        <v>1.2440961519465259</v>
      </c>
      <c r="N100" s="162"/>
      <c r="Q100" s="279"/>
      <c r="R100" s="279"/>
      <c r="S100" s="322"/>
      <c r="T100" s="284"/>
      <c r="U100" s="284"/>
      <c r="V100" s="284"/>
      <c r="W100" s="284"/>
      <c r="X100" s="284"/>
      <c r="Y100" s="284"/>
    </row>
    <row r="101" spans="1:25">
      <c r="A101" s="83"/>
      <c r="D101" s="160" t="s">
        <v>195</v>
      </c>
      <c r="E101" s="160"/>
      <c r="F101" s="83"/>
      <c r="G101" s="83"/>
      <c r="H101" s="160"/>
      <c r="L101" s="269">
        <f>S102</f>
        <v>2.1384696109766042</v>
      </c>
      <c r="M101" s="269"/>
      <c r="N101" s="162"/>
      <c r="P101" s="279" t="s">
        <v>445</v>
      </c>
      <c r="Q101" s="279" t="s">
        <v>409</v>
      </c>
      <c r="R101" s="279" t="s">
        <v>410</v>
      </c>
      <c r="S101" s="322">
        <f>IF(P101="Y",VLOOKUP(Q101,Rates2022,3,0)*PercIncr2023,VLOOKUP(Q101,Rates2022,3,0))</f>
        <v>1.2440961519465259</v>
      </c>
      <c r="T101" s="284"/>
      <c r="U101" s="284"/>
      <c r="V101" s="284"/>
      <c r="W101" s="284"/>
      <c r="X101" s="284"/>
      <c r="Y101" s="284"/>
    </row>
    <row r="102" spans="1:25">
      <c r="A102" s="83"/>
      <c r="D102" s="83" t="s">
        <v>196</v>
      </c>
      <c r="E102" s="83"/>
      <c r="F102" s="83"/>
      <c r="G102" s="83"/>
      <c r="H102" s="160"/>
      <c r="I102" s="83"/>
      <c r="L102" s="269">
        <f>S103</f>
        <v>1.9093478669433965</v>
      </c>
      <c r="M102" s="249"/>
      <c r="N102" s="162"/>
      <c r="P102" s="279" t="s">
        <v>445</v>
      </c>
      <c r="Q102" s="279" t="s">
        <v>411</v>
      </c>
      <c r="R102" s="279" t="s">
        <v>412</v>
      </c>
      <c r="S102" s="322">
        <f>IF(P102="Y",VLOOKUP(Q102,Rates2022,3,0)*PercIncr2023,VLOOKUP(Q102,Rates2022,3,0))</f>
        <v>2.1384696109766042</v>
      </c>
      <c r="T102" s="284"/>
      <c r="U102" s="284"/>
      <c r="V102" s="284"/>
      <c r="W102" s="284"/>
      <c r="X102" s="284"/>
      <c r="Y102" s="284"/>
    </row>
    <row r="103" spans="1:25">
      <c r="A103" s="83"/>
      <c r="D103" s="83" t="s">
        <v>197</v>
      </c>
      <c r="E103" s="83"/>
      <c r="F103" s="83"/>
      <c r="G103" s="83"/>
      <c r="H103" s="160"/>
      <c r="I103" s="83"/>
      <c r="L103" s="269">
        <f>S105</f>
        <v>0.76373914677735832</v>
      </c>
      <c r="M103" s="249"/>
      <c r="N103" s="162"/>
      <c r="P103" s="279" t="s">
        <v>445</v>
      </c>
      <c r="Q103" s="279" t="s">
        <v>413</v>
      </c>
      <c r="R103" s="279" t="s">
        <v>414</v>
      </c>
      <c r="S103" s="322">
        <f>IF(P103="Y",VLOOKUP(Q103,Rates2022,3,0)*PercIncr2023,VLOOKUP(Q103,Rates2022,3,0))</f>
        <v>1.9093478669433965</v>
      </c>
      <c r="T103" s="284"/>
      <c r="U103" s="284"/>
      <c r="V103" s="284"/>
      <c r="W103" s="284"/>
      <c r="X103" s="284"/>
      <c r="Y103" s="284"/>
    </row>
    <row r="104" spans="1:25">
      <c r="A104" s="83"/>
      <c r="D104" s="83" t="s">
        <v>529</v>
      </c>
      <c r="E104" s="83"/>
      <c r="F104" s="83"/>
      <c r="G104" s="83"/>
      <c r="H104" s="160"/>
      <c r="I104" s="83"/>
      <c r="L104" s="269">
        <v>1</v>
      </c>
      <c r="M104" s="249"/>
      <c r="N104" s="162"/>
      <c r="P104" s="279" t="s">
        <v>445</v>
      </c>
      <c r="Q104" s="279" t="s">
        <v>530</v>
      </c>
      <c r="R104" s="279"/>
      <c r="S104" s="322">
        <v>1</v>
      </c>
      <c r="T104" s="284"/>
      <c r="U104" s="284"/>
      <c r="V104" s="284"/>
      <c r="W104" s="284"/>
      <c r="X104" s="284"/>
      <c r="Y104" s="284"/>
    </row>
    <row r="105" spans="1:25">
      <c r="A105" s="83"/>
      <c r="D105" s="83"/>
      <c r="E105" s="83"/>
      <c r="F105" s="83"/>
      <c r="G105" s="83"/>
      <c r="H105" s="160"/>
      <c r="I105" s="83"/>
      <c r="J105" s="83"/>
      <c r="K105" s="83"/>
      <c r="L105" s="83"/>
      <c r="M105" s="162"/>
      <c r="N105" s="162"/>
      <c r="P105" s="279" t="s">
        <v>445</v>
      </c>
      <c r="Q105" s="279" t="s">
        <v>415</v>
      </c>
      <c r="R105" s="279" t="s">
        <v>416</v>
      </c>
      <c r="S105" s="322">
        <f>IF(P105="Y",VLOOKUP(Q105,Rates2022,3,0)*PercIncr2023,VLOOKUP(Q105,Rates2022,3,0))</f>
        <v>0.76373914677735832</v>
      </c>
      <c r="T105" s="284"/>
      <c r="U105" s="284"/>
      <c r="V105" s="284"/>
      <c r="W105" s="284"/>
      <c r="X105" s="284"/>
      <c r="Y105" s="284"/>
    </row>
    <row r="106" spans="1:25">
      <c r="A106" s="83"/>
      <c r="D106" s="234" t="s">
        <v>198</v>
      </c>
      <c r="E106" s="234"/>
      <c r="F106" s="83"/>
      <c r="G106" s="83"/>
      <c r="H106" s="160"/>
      <c r="I106" s="83"/>
      <c r="J106" s="83"/>
      <c r="K106" s="83"/>
      <c r="L106" s="83"/>
      <c r="M106" s="162"/>
      <c r="N106" s="162"/>
      <c r="S106" s="322"/>
      <c r="T106" s="284"/>
      <c r="U106" s="284"/>
      <c r="V106" s="284"/>
      <c r="W106" s="284"/>
      <c r="X106" s="284"/>
      <c r="Y106" s="284"/>
    </row>
    <row r="107" spans="1:25">
      <c r="A107" s="83"/>
      <c r="D107" s="165" t="s">
        <v>199</v>
      </c>
      <c r="E107" s="165"/>
      <c r="F107" s="83"/>
      <c r="G107" s="83"/>
      <c r="H107" s="160"/>
      <c r="I107" s="83"/>
      <c r="J107" s="83"/>
      <c r="K107" s="83"/>
      <c r="L107" s="83"/>
      <c r="M107" s="162"/>
      <c r="N107" s="162"/>
      <c r="Q107" s="279"/>
      <c r="R107" s="279"/>
      <c r="S107" s="322"/>
      <c r="T107" s="284"/>
      <c r="U107" s="284"/>
      <c r="V107" s="284"/>
      <c r="W107" s="284"/>
      <c r="X107" s="284"/>
      <c r="Y107" s="284"/>
    </row>
    <row r="108" spans="1:25">
      <c r="A108" s="83"/>
      <c r="D108" s="165" t="s">
        <v>200</v>
      </c>
      <c r="E108" s="165"/>
      <c r="F108" s="83"/>
      <c r="G108" s="83"/>
      <c r="H108" s="160"/>
      <c r="I108" s="83"/>
      <c r="J108" s="83"/>
      <c r="K108" s="83"/>
      <c r="L108" s="83"/>
      <c r="M108" s="162"/>
      <c r="N108" s="162"/>
      <c r="Q108" s="279"/>
      <c r="R108" s="279"/>
      <c r="S108" s="322"/>
      <c r="T108" s="284"/>
      <c r="U108" s="284"/>
      <c r="V108" s="284"/>
      <c r="W108" s="284"/>
      <c r="X108" s="284"/>
      <c r="Y108" s="284"/>
    </row>
    <row r="109" spans="1:25">
      <c r="A109" s="83"/>
      <c r="D109" s="165" t="s">
        <v>201</v>
      </c>
      <c r="E109" s="165"/>
      <c r="F109" s="83"/>
      <c r="G109" s="83"/>
      <c r="H109" s="160"/>
      <c r="I109" s="83"/>
      <c r="J109" s="83"/>
      <c r="K109" s="83"/>
      <c r="L109" s="83"/>
      <c r="M109" s="162"/>
      <c r="N109" s="162"/>
      <c r="Q109" s="279"/>
      <c r="R109" s="279"/>
      <c r="S109" s="322"/>
      <c r="T109" s="284"/>
      <c r="U109" s="284"/>
      <c r="V109" s="284"/>
      <c r="W109" s="284"/>
      <c r="X109" s="284"/>
      <c r="Y109" s="284"/>
    </row>
    <row r="110" spans="1:25">
      <c r="A110" s="83"/>
      <c r="D110" s="165" t="s">
        <v>202</v>
      </c>
      <c r="E110" s="165"/>
      <c r="F110" s="83"/>
      <c r="G110" s="83"/>
      <c r="H110" s="160"/>
      <c r="I110" s="83"/>
      <c r="J110" s="83"/>
      <c r="K110" s="83"/>
      <c r="L110" s="83"/>
      <c r="M110" s="162"/>
      <c r="N110" s="162"/>
      <c r="Q110" s="279"/>
      <c r="R110" s="279"/>
      <c r="S110" s="322"/>
      <c r="T110" s="284"/>
      <c r="U110" s="284"/>
      <c r="V110" s="284"/>
      <c r="W110" s="284"/>
      <c r="X110" s="284"/>
      <c r="Y110" s="284"/>
    </row>
    <row r="111" spans="1:25">
      <c r="A111" s="83"/>
      <c r="D111" s="165" t="s">
        <v>203</v>
      </c>
      <c r="E111" s="165"/>
      <c r="F111" s="83"/>
      <c r="G111" s="83"/>
      <c r="H111" s="160"/>
      <c r="I111" s="83"/>
      <c r="J111" s="83"/>
      <c r="K111" s="83"/>
      <c r="L111" s="83"/>
      <c r="M111" s="162"/>
      <c r="N111" s="162"/>
      <c r="Q111" s="279"/>
      <c r="R111" s="279"/>
      <c r="S111" s="322"/>
      <c r="T111" s="284"/>
      <c r="U111" s="284"/>
      <c r="V111" s="284"/>
      <c r="W111" s="284"/>
      <c r="X111" s="284"/>
      <c r="Y111" s="284"/>
    </row>
    <row r="112" spans="1:25">
      <c r="A112" s="83"/>
      <c r="D112" s="165" t="s">
        <v>204</v>
      </c>
      <c r="E112" s="165"/>
      <c r="F112" s="83"/>
      <c r="G112" s="83"/>
      <c r="H112" s="160"/>
      <c r="I112" s="83"/>
      <c r="J112" s="83"/>
      <c r="K112" s="83"/>
      <c r="L112" s="83"/>
      <c r="M112" s="162"/>
      <c r="N112" s="162"/>
      <c r="Q112" s="279"/>
      <c r="R112" s="279"/>
      <c r="S112" s="322"/>
      <c r="T112" s="284"/>
      <c r="U112" s="284"/>
      <c r="V112" s="284"/>
      <c r="W112" s="284"/>
      <c r="X112" s="284"/>
      <c r="Y112" s="284"/>
    </row>
    <row r="113" spans="1:25">
      <c r="A113" s="83"/>
      <c r="D113" s="165" t="s">
        <v>205</v>
      </c>
      <c r="E113" s="165"/>
      <c r="F113" s="83"/>
      <c r="G113" s="83"/>
      <c r="H113" s="160"/>
      <c r="I113" s="83"/>
      <c r="J113" s="83"/>
      <c r="K113" s="83"/>
      <c r="L113" s="83"/>
      <c r="M113" s="162"/>
      <c r="N113" s="162"/>
      <c r="Q113" s="279"/>
      <c r="R113" s="279"/>
      <c r="S113" s="322"/>
      <c r="T113" s="284"/>
      <c r="U113" s="284"/>
      <c r="V113" s="284"/>
      <c r="W113" s="284"/>
      <c r="X113" s="284"/>
      <c r="Y113" s="284"/>
    </row>
    <row r="114" spans="1:25">
      <c r="A114" s="83"/>
      <c r="D114" s="165" t="s">
        <v>206</v>
      </c>
      <c r="E114" s="165"/>
      <c r="F114" s="83"/>
      <c r="G114" s="83"/>
      <c r="H114" s="160"/>
      <c r="I114" s="83"/>
      <c r="J114" s="83"/>
      <c r="K114" s="83"/>
      <c r="L114" s="83"/>
      <c r="M114" s="162"/>
      <c r="N114" s="162"/>
      <c r="Q114" s="279"/>
      <c r="R114" s="279"/>
      <c r="S114" s="322"/>
      <c r="T114" s="284"/>
      <c r="U114" s="284"/>
      <c r="V114" s="284"/>
      <c r="W114" s="284"/>
      <c r="X114" s="284"/>
      <c r="Y114" s="284"/>
    </row>
    <row r="115" spans="1:25">
      <c r="A115" s="83"/>
      <c r="D115" s="163" t="s">
        <v>207</v>
      </c>
      <c r="E115" s="163"/>
      <c r="F115" s="83"/>
      <c r="G115" s="83"/>
      <c r="H115" s="160"/>
      <c r="I115" s="83"/>
      <c r="J115" s="83"/>
      <c r="K115" s="83"/>
      <c r="L115" s="83"/>
      <c r="M115" s="162"/>
      <c r="N115" s="162"/>
      <c r="Q115" s="279"/>
      <c r="R115" s="279"/>
      <c r="S115" s="322"/>
      <c r="T115" s="284"/>
      <c r="U115" s="284"/>
      <c r="V115" s="284"/>
      <c r="W115" s="284"/>
      <c r="X115" s="284"/>
      <c r="Y115" s="284"/>
    </row>
    <row r="116" spans="1:25">
      <c r="A116" s="83"/>
      <c r="D116" s="163" t="s">
        <v>208</v>
      </c>
      <c r="E116" s="163"/>
      <c r="F116" s="83"/>
      <c r="G116" s="83"/>
      <c r="H116" s="160"/>
      <c r="I116" s="83"/>
      <c r="J116" s="83"/>
      <c r="K116" s="83"/>
      <c r="L116" s="83"/>
      <c r="M116" s="162"/>
      <c r="N116" s="162"/>
      <c r="Q116" s="279"/>
      <c r="R116" s="279"/>
      <c r="S116" s="322"/>
      <c r="T116" s="284"/>
      <c r="U116" s="284"/>
      <c r="V116" s="284"/>
      <c r="W116" s="284"/>
      <c r="X116" s="284"/>
      <c r="Y116" s="284"/>
    </row>
    <row r="117" spans="1:25">
      <c r="A117" s="83"/>
      <c r="D117" s="163" t="s">
        <v>209</v>
      </c>
      <c r="E117" s="163"/>
      <c r="F117" s="83"/>
      <c r="G117" s="83"/>
      <c r="H117" s="160"/>
      <c r="I117" s="83"/>
      <c r="J117" s="83"/>
      <c r="K117" s="83"/>
      <c r="L117" s="83"/>
      <c r="M117" s="162"/>
      <c r="N117" s="162"/>
      <c r="Q117" s="279"/>
      <c r="R117" s="279"/>
      <c r="S117" s="322"/>
      <c r="T117" s="284"/>
      <c r="U117" s="284"/>
      <c r="V117" s="284"/>
      <c r="W117" s="284"/>
      <c r="X117" s="284"/>
      <c r="Y117" s="284"/>
    </row>
    <row r="118" spans="1:25">
      <c r="A118" s="83"/>
      <c r="D118" s="165" t="s">
        <v>210</v>
      </c>
      <c r="E118" s="165"/>
      <c r="F118" s="83"/>
      <c r="G118" s="83"/>
      <c r="H118" s="160"/>
      <c r="I118" s="83"/>
      <c r="J118" s="83"/>
      <c r="K118" s="83"/>
      <c r="L118" s="83"/>
      <c r="M118" s="162"/>
      <c r="N118" s="162"/>
      <c r="Q118" s="279"/>
      <c r="R118" s="279"/>
      <c r="S118" s="322"/>
      <c r="T118" s="284"/>
      <c r="U118" s="284"/>
      <c r="V118" s="284"/>
      <c r="W118" s="284"/>
      <c r="X118" s="284"/>
      <c r="Y118" s="284"/>
    </row>
    <row r="119" spans="1:25">
      <c r="A119" s="83"/>
      <c r="D119" s="165" t="s">
        <v>211</v>
      </c>
      <c r="E119" s="165"/>
      <c r="F119" s="83"/>
      <c r="G119" s="83"/>
      <c r="H119" s="160"/>
      <c r="I119" s="83"/>
      <c r="J119" s="83"/>
      <c r="K119" s="83"/>
      <c r="L119" s="83"/>
      <c r="M119" s="162"/>
      <c r="N119" s="162"/>
      <c r="Q119" s="279"/>
      <c r="R119" s="279"/>
      <c r="S119" s="322"/>
      <c r="T119" s="284"/>
      <c r="U119" s="284"/>
      <c r="V119" s="284"/>
      <c r="W119" s="284"/>
      <c r="X119" s="284"/>
      <c r="Y119" s="284"/>
    </row>
    <row r="120" spans="1:25">
      <c r="A120" s="83"/>
      <c r="D120" s="165" t="s">
        <v>212</v>
      </c>
      <c r="E120" s="165"/>
      <c r="F120" s="83"/>
      <c r="G120" s="83"/>
      <c r="H120" s="160"/>
      <c r="I120" s="83"/>
      <c r="J120" s="83"/>
      <c r="K120" s="83"/>
      <c r="L120" s="83"/>
      <c r="M120" s="162"/>
      <c r="N120" s="162"/>
      <c r="Q120" s="279"/>
      <c r="R120" s="279"/>
      <c r="S120" s="322"/>
      <c r="T120" s="284"/>
      <c r="U120" s="284"/>
      <c r="V120" s="284"/>
      <c r="W120" s="284"/>
      <c r="X120" s="284"/>
      <c r="Y120" s="284"/>
    </row>
    <row r="121" spans="1:25">
      <c r="D121" s="165"/>
      <c r="E121" s="83" t="s">
        <v>213</v>
      </c>
      <c r="F121" s="83"/>
      <c r="H121" s="160"/>
      <c r="I121" s="83"/>
      <c r="J121" s="83"/>
      <c r="K121" s="83"/>
      <c r="L121" s="83"/>
      <c r="M121" s="162"/>
      <c r="N121" s="162"/>
      <c r="Q121" s="279"/>
      <c r="R121" s="279"/>
      <c r="S121" s="322"/>
      <c r="T121" s="284"/>
      <c r="U121" s="284"/>
      <c r="V121" s="284"/>
      <c r="W121" s="284"/>
      <c r="X121" s="284"/>
      <c r="Y121" s="284"/>
    </row>
    <row r="122" spans="1:25">
      <c r="D122" s="165"/>
      <c r="E122" s="83" t="s">
        <v>356</v>
      </c>
      <c r="F122" s="83"/>
      <c r="H122" s="160"/>
      <c r="I122" s="83"/>
      <c r="J122" s="83"/>
      <c r="K122" s="83"/>
      <c r="L122" s="83"/>
      <c r="M122" s="162"/>
      <c r="N122" s="162"/>
      <c r="Q122" s="279"/>
      <c r="R122" s="279"/>
      <c r="S122" s="322"/>
      <c r="T122" s="284"/>
      <c r="U122" s="284"/>
      <c r="V122" s="284"/>
      <c r="W122" s="284"/>
      <c r="X122" s="284"/>
      <c r="Y122" s="284"/>
    </row>
    <row r="123" spans="1:25">
      <c r="D123" s="165"/>
      <c r="E123" s="83" t="s">
        <v>215</v>
      </c>
      <c r="F123" s="83"/>
      <c r="H123" s="160"/>
      <c r="I123" s="83"/>
      <c r="J123" s="83"/>
      <c r="K123" s="83"/>
      <c r="L123" s="83"/>
      <c r="M123" s="162"/>
      <c r="N123" s="162"/>
      <c r="Q123" s="279"/>
      <c r="R123" s="279"/>
      <c r="S123" s="322"/>
      <c r="T123" s="284"/>
      <c r="U123" s="284"/>
      <c r="V123" s="284"/>
      <c r="W123" s="284"/>
      <c r="X123" s="284"/>
      <c r="Y123" s="284"/>
    </row>
    <row r="124" spans="1:25">
      <c r="A124" s="83"/>
      <c r="D124" s="165" t="s">
        <v>216</v>
      </c>
      <c r="E124" s="165"/>
      <c r="F124" s="83"/>
      <c r="G124" s="83"/>
      <c r="H124" s="160"/>
      <c r="I124" s="83"/>
      <c r="J124" s="162"/>
      <c r="K124" s="162"/>
      <c r="L124" s="162"/>
      <c r="M124" s="162"/>
      <c r="N124" s="162"/>
      <c r="Q124" s="279"/>
      <c r="R124" s="279"/>
      <c r="S124" s="322"/>
      <c r="T124" s="284"/>
      <c r="U124" s="284"/>
      <c r="V124" s="284"/>
      <c r="W124" s="284"/>
      <c r="X124" s="284"/>
      <c r="Y124" s="284"/>
    </row>
    <row r="125" spans="1:25">
      <c r="A125" s="83"/>
      <c r="D125" s="439" t="s">
        <v>531</v>
      </c>
      <c r="E125" s="165"/>
      <c r="F125" s="83"/>
      <c r="G125" s="83"/>
      <c r="H125" s="160"/>
      <c r="I125" s="83"/>
      <c r="J125" s="162"/>
      <c r="K125" s="162"/>
      <c r="L125" s="162"/>
      <c r="M125" s="162"/>
      <c r="N125" s="162"/>
      <c r="Q125" s="279"/>
      <c r="R125" s="279"/>
      <c r="S125" s="322"/>
      <c r="T125" s="284"/>
      <c r="U125" s="284"/>
      <c r="V125" s="284"/>
      <c r="W125" s="284"/>
      <c r="X125" s="284"/>
      <c r="Y125" s="284"/>
    </row>
    <row r="126" spans="1:25">
      <c r="A126" s="83"/>
      <c r="D126" s="439" t="s">
        <v>532</v>
      </c>
      <c r="E126" s="165"/>
      <c r="F126" s="83"/>
      <c r="G126" s="83"/>
      <c r="H126" s="160"/>
      <c r="I126" s="83"/>
      <c r="J126" s="162"/>
      <c r="K126" s="162"/>
      <c r="L126" s="162"/>
      <c r="M126" s="162"/>
      <c r="N126" s="162"/>
      <c r="Q126" s="279"/>
      <c r="R126" s="279"/>
      <c r="S126" s="322"/>
      <c r="T126" s="284"/>
      <c r="U126" s="284"/>
      <c r="V126" s="284"/>
      <c r="W126" s="284"/>
      <c r="X126" s="284"/>
      <c r="Y126" s="284"/>
    </row>
    <row r="127" spans="1:25">
      <c r="A127" s="83"/>
      <c r="D127" s="165"/>
      <c r="E127" s="165"/>
      <c r="F127" s="83"/>
      <c r="G127" s="83"/>
      <c r="H127" s="160"/>
      <c r="I127" s="83"/>
      <c r="J127" s="162"/>
      <c r="K127" s="162"/>
      <c r="L127" s="162"/>
      <c r="M127" s="162"/>
      <c r="N127" s="162"/>
      <c r="Q127" s="279"/>
      <c r="R127" s="279"/>
      <c r="S127" s="322"/>
      <c r="T127" s="284"/>
      <c r="U127" s="284"/>
      <c r="V127" s="284"/>
      <c r="W127" s="284"/>
      <c r="X127" s="284"/>
      <c r="Y127" s="284"/>
    </row>
    <row r="128" spans="1:25">
      <c r="A128" s="83"/>
      <c r="D128" s="166" t="s">
        <v>217</v>
      </c>
      <c r="E128" s="166"/>
      <c r="F128" s="83"/>
      <c r="G128" s="83"/>
      <c r="H128" s="160"/>
      <c r="I128" s="404"/>
      <c r="J128" s="249"/>
      <c r="K128" s="162"/>
      <c r="L128" s="162"/>
      <c r="M128" s="162"/>
      <c r="N128" s="162"/>
      <c r="Q128" s="279"/>
      <c r="R128" s="279"/>
      <c r="S128" s="322"/>
      <c r="T128" s="284"/>
      <c r="U128" s="284"/>
      <c r="V128" s="284"/>
      <c r="W128" s="284"/>
      <c r="X128" s="284"/>
      <c r="Y128" s="284"/>
    </row>
    <row r="129" spans="1:25">
      <c r="A129" s="83"/>
      <c r="D129" s="165" t="s">
        <v>357</v>
      </c>
      <c r="E129" s="165"/>
      <c r="F129" s="83"/>
      <c r="G129" s="83"/>
      <c r="H129" s="160"/>
      <c r="I129" s="83"/>
      <c r="J129" s="249"/>
      <c r="K129" s="162"/>
      <c r="L129" s="162"/>
      <c r="M129" s="162"/>
      <c r="N129" s="162"/>
      <c r="Q129" s="311" t="s">
        <v>417</v>
      </c>
      <c r="R129" s="279"/>
      <c r="S129" s="322"/>
      <c r="T129" s="284"/>
      <c r="U129" s="284"/>
      <c r="V129" s="284"/>
      <c r="W129" s="284"/>
      <c r="X129" s="284"/>
      <c r="Y129" s="284"/>
    </row>
    <row r="130" spans="1:25">
      <c r="E130" s="269">
        <f>S130</f>
        <v>0.27556527144092435</v>
      </c>
      <c r="F130" s="160" t="s">
        <v>220</v>
      </c>
      <c r="H130" s="160"/>
      <c r="I130" s="83"/>
      <c r="J130" s="249"/>
      <c r="K130" s="162"/>
      <c r="L130" s="162"/>
      <c r="M130" s="162"/>
      <c r="N130" s="162"/>
      <c r="P130" s="279" t="s">
        <v>445</v>
      </c>
      <c r="Q130" s="279" t="s">
        <v>418</v>
      </c>
      <c r="R130" s="279"/>
      <c r="S130" s="322">
        <f>IF(P130="Y",VLOOKUP(Q130,Rates2022,3,0)*PercIncr2023,VLOOKUP(Q130,Rates2022,3,0))</f>
        <v>0.27556527144092435</v>
      </c>
      <c r="T130" s="284"/>
      <c r="U130" s="284"/>
      <c r="V130" s="284"/>
      <c r="W130" s="284"/>
      <c r="X130" s="284"/>
      <c r="Y130" s="284"/>
    </row>
    <row r="131" spans="1:25">
      <c r="E131" s="269">
        <f>S131</f>
        <v>0.45792464224741875</v>
      </c>
      <c r="F131" s="160" t="s">
        <v>221</v>
      </c>
      <c r="P131" s="279" t="s">
        <v>445</v>
      </c>
      <c r="Q131" s="279" t="s">
        <v>419</v>
      </c>
      <c r="R131" s="279"/>
      <c r="S131" s="322">
        <f>IF(P131="Y",VLOOKUP(Q131,Rates2022,3,0)*PercIncr2023,VLOOKUP(Q131,Rates2022,3,0))</f>
        <v>0.45792464224741875</v>
      </c>
      <c r="T131" s="284"/>
      <c r="U131" s="284"/>
      <c r="V131" s="284"/>
      <c r="W131" s="284"/>
      <c r="X131" s="284"/>
      <c r="Y131" s="284"/>
    </row>
    <row r="132" spans="1:25">
      <c r="E132" s="269">
        <f>S132</f>
        <v>0.55248135303597112</v>
      </c>
      <c r="F132" s="160" t="s">
        <v>222</v>
      </c>
      <c r="H132" s="250"/>
      <c r="I132" s="252"/>
      <c r="J132" s="252"/>
      <c r="P132" s="279" t="s">
        <v>445</v>
      </c>
      <c r="Q132" s="279" t="s">
        <v>420</v>
      </c>
      <c r="R132" s="279"/>
      <c r="S132" s="322">
        <f>IF(P132="Y",VLOOKUP(Q132,Rates2022,3,0)*PercIncr2023,VLOOKUP(Q132,Rates2022,3,0))</f>
        <v>0.55248135303597112</v>
      </c>
      <c r="T132" s="284"/>
      <c r="U132" s="284"/>
      <c r="V132" s="284"/>
      <c r="W132" s="284"/>
      <c r="X132" s="284"/>
      <c r="Y132" s="284"/>
    </row>
    <row r="133" spans="1:25">
      <c r="E133" s="269">
        <f>S133</f>
        <v>0.72403424260948812</v>
      </c>
      <c r="F133" s="160" t="s">
        <v>223</v>
      </c>
      <c r="J133" s="252"/>
      <c r="P133" s="279" t="s">
        <v>445</v>
      </c>
      <c r="Q133" s="279" t="s">
        <v>421</v>
      </c>
      <c r="R133" s="279"/>
      <c r="S133" s="322">
        <f>IF(P133="Y",VLOOKUP(Q133,Rates2022,3,0)*PercIncr2023,VLOOKUP(Q133,Rates2022,3,0))</f>
        <v>0.72403424260948812</v>
      </c>
      <c r="T133" s="284"/>
      <c r="U133" s="284"/>
      <c r="V133" s="284"/>
      <c r="W133" s="284"/>
      <c r="X133" s="284"/>
      <c r="Y133" s="284"/>
    </row>
    <row r="134" spans="1:25">
      <c r="H134" s="253"/>
      <c r="I134" s="255"/>
      <c r="J134" s="255"/>
      <c r="Q134" s="279"/>
      <c r="R134" s="279"/>
      <c r="S134" s="322"/>
      <c r="T134" s="284"/>
      <c r="U134" s="284"/>
      <c r="V134" s="284"/>
      <c r="W134" s="284"/>
      <c r="X134" s="284"/>
      <c r="Y134" s="284"/>
    </row>
    <row r="135" spans="1:25">
      <c r="A135" s="256"/>
      <c r="D135" s="166" t="s">
        <v>224</v>
      </c>
      <c r="E135" s="166"/>
      <c r="F135" s="256"/>
      <c r="G135" s="256"/>
      <c r="I135" s="258"/>
      <c r="J135" s="258"/>
      <c r="Q135" s="279"/>
      <c r="R135" s="279"/>
      <c r="S135" s="322"/>
      <c r="T135" s="284"/>
      <c r="U135" s="284"/>
      <c r="V135" s="284"/>
      <c r="W135" s="284"/>
      <c r="X135" s="284"/>
      <c r="Y135" s="284"/>
    </row>
    <row r="136" spans="1:25">
      <c r="A136" s="259"/>
      <c r="D136" s="165" t="s">
        <v>453</v>
      </c>
      <c r="E136" s="165"/>
      <c r="F136" s="211" t="str">
        <f>"The employer shall pay a Shift Differential equal to  "&amp;TEXT(S138,"$0.000")&amp;" per hour for all work shifts that have a "</f>
        <v xml:space="preserve">The employer shall pay a Shift Differential equal to  $1.542 per hour for all work shifts that have a </v>
      </c>
      <c r="G136" s="259"/>
      <c r="H136" s="159"/>
      <c r="L136" s="405"/>
      <c r="M136" s="211"/>
      <c r="Q136" s="279"/>
      <c r="R136" s="279"/>
      <c r="S136" s="322"/>
      <c r="T136" s="284"/>
      <c r="U136" s="284"/>
      <c r="V136" s="284"/>
      <c r="W136" s="284"/>
      <c r="X136" s="284"/>
      <c r="Y136" s="284"/>
    </row>
    <row r="137" spans="1:25">
      <c r="A137" s="256"/>
      <c r="D137" s="165" t="s">
        <v>359</v>
      </c>
      <c r="E137" s="165"/>
      <c r="F137" s="256"/>
      <c r="G137" s="256"/>
      <c r="Q137" s="279"/>
      <c r="R137" s="279"/>
      <c r="S137" s="322"/>
      <c r="T137" s="284"/>
      <c r="U137" s="284"/>
      <c r="V137" s="284"/>
      <c r="W137" s="284"/>
      <c r="X137" s="284"/>
      <c r="Y137" s="284"/>
    </row>
    <row r="138" spans="1:25">
      <c r="A138" s="258"/>
      <c r="D138" s="165" t="s">
        <v>227</v>
      </c>
      <c r="E138" s="165"/>
      <c r="F138" s="258"/>
      <c r="G138" s="258"/>
      <c r="P138" s="279" t="s">
        <v>445</v>
      </c>
      <c r="Q138" s="279" t="s">
        <v>423</v>
      </c>
      <c r="R138" s="279" t="s">
        <v>424</v>
      </c>
      <c r="S138" s="322">
        <f>IF(P138="Y",VLOOKUP(Q138,Rates2022,3,0)*PercIncr2023,VLOOKUP(Q138,Rates2022,3,0))</f>
        <v>1.542210948239062</v>
      </c>
      <c r="T138" s="284"/>
      <c r="U138" s="284"/>
      <c r="V138" s="284"/>
      <c r="W138" s="284"/>
      <c r="X138" s="284"/>
      <c r="Y138" s="284"/>
    </row>
    <row r="139" spans="1:25">
      <c r="A139" s="258"/>
      <c r="D139" s="165" t="s">
        <v>228</v>
      </c>
      <c r="E139" s="165"/>
      <c r="F139" s="258"/>
      <c r="G139" s="258"/>
      <c r="P139" s="279" t="s">
        <v>445</v>
      </c>
      <c r="Q139" s="279" t="s">
        <v>425</v>
      </c>
      <c r="R139" s="279" t="s">
        <v>426</v>
      </c>
      <c r="S139" s="322">
        <f>IF(P139="Y",VLOOKUP(Q139,Rates2022,3,0)*PercIncr2023,VLOOKUP(Q139,Rates2022,3,0))</f>
        <v>1.542210948239062</v>
      </c>
      <c r="T139" s="284"/>
      <c r="U139" s="284"/>
      <c r="V139" s="284"/>
      <c r="W139" s="284"/>
      <c r="X139" s="284"/>
      <c r="Y139" s="284"/>
    </row>
    <row r="140" spans="1:25">
      <c r="D140" s="165" t="s">
        <v>533</v>
      </c>
      <c r="E140" s="165"/>
      <c r="H140" s="160"/>
      <c r="I140" s="83"/>
      <c r="J140" s="83"/>
      <c r="K140" s="83"/>
      <c r="P140" s="279" t="s">
        <v>445</v>
      </c>
      <c r="Q140" s="279" t="s">
        <v>427</v>
      </c>
      <c r="R140" s="279" t="s">
        <v>428</v>
      </c>
      <c r="S140" s="322">
        <f>IF(P140="Y",VLOOKUP(Q140,Rates2022,3,0)*PercIncr2023,VLOOKUP(Q140,Rates2022,3,0))</f>
        <v>1.542210948239062</v>
      </c>
      <c r="T140" s="284"/>
      <c r="U140" s="284"/>
      <c r="V140" s="284"/>
      <c r="W140" s="284"/>
      <c r="X140" s="284"/>
      <c r="Y140" s="284"/>
    </row>
    <row r="141" spans="1:25">
      <c r="Q141" s="279"/>
      <c r="R141" s="279"/>
    </row>
    <row r="142" spans="1:25">
      <c r="D142" s="441" t="s">
        <v>534</v>
      </c>
      <c r="E142" s="409"/>
      <c r="F142" s="442"/>
      <c r="G142" s="442"/>
      <c r="H142" s="443"/>
      <c r="P142" s="279" t="s">
        <v>445</v>
      </c>
      <c r="Q142" s="279" t="s">
        <v>431</v>
      </c>
      <c r="R142" s="279" t="s">
        <v>432</v>
      </c>
      <c r="S142" s="322"/>
    </row>
    <row r="143" spans="1:25">
      <c r="D143" s="441" t="s">
        <v>535</v>
      </c>
      <c r="E143" s="409" t="str">
        <f xml:space="preserve"> "The Employer shall pay an Evening Shift Differential equal to  "&amp;TEXT(S143,"$0.000")&amp;" per hour for all Water Treatment Operator and Senior Water Treatment Operator"</f>
        <v>The Employer shall pay an Evening Shift Differential equal to  $1.542 per hour for all Water Treatment Operator and Senior Water Treatment Operator</v>
      </c>
      <c r="F143" s="442"/>
      <c r="G143" s="442"/>
      <c r="H143" s="443"/>
      <c r="P143" s="279" t="s">
        <v>445</v>
      </c>
      <c r="Q143" s="279" t="s">
        <v>536</v>
      </c>
      <c r="R143" s="279"/>
      <c r="S143" s="322">
        <f>S140</f>
        <v>1.542210948239062</v>
      </c>
    </row>
    <row r="144" spans="1:25">
      <c r="D144" s="409" t="s">
        <v>537</v>
      </c>
      <c r="E144" s="409"/>
      <c r="F144" s="442"/>
      <c r="G144" s="442"/>
      <c r="H144" s="443"/>
      <c r="Q144" s="279"/>
      <c r="R144" s="279"/>
      <c r="S144" s="322"/>
    </row>
    <row r="145" spans="1:19">
      <c r="D145" s="409" t="s">
        <v>538</v>
      </c>
      <c r="E145" s="409"/>
      <c r="F145" s="442"/>
      <c r="G145" s="442"/>
      <c r="H145" s="443"/>
      <c r="Q145" s="279"/>
      <c r="R145" s="279"/>
      <c r="S145" s="322"/>
    </row>
    <row r="146" spans="1:19">
      <c r="A146" s="83"/>
      <c r="D146" s="441" t="s">
        <v>539</v>
      </c>
      <c r="E146" s="409" t="str">
        <f>"The Employer shall pay a Weekend Shift Differential equal to "&amp;TEXT(S146,"$0.000")&amp;" per hour for all Water Treatment Operator and Senior Water Treatment Operator"</f>
        <v>The Employer shall pay a Weekend Shift Differential equal to $2.100 per hour for all Water Treatment Operator and Senior Water Treatment Operator</v>
      </c>
      <c r="F146" s="442"/>
      <c r="G146" s="442"/>
      <c r="H146" s="443"/>
      <c r="P146" s="279" t="s">
        <v>445</v>
      </c>
      <c r="Q146" s="279" t="s">
        <v>540</v>
      </c>
      <c r="R146" s="279"/>
      <c r="S146" s="322">
        <v>2.1</v>
      </c>
    </row>
    <row r="147" spans="1:19">
      <c r="A147" s="83"/>
      <c r="D147" s="409" t="s">
        <v>541</v>
      </c>
      <c r="E147" s="409"/>
      <c r="F147" s="442"/>
      <c r="G147" s="442"/>
      <c r="H147" s="443"/>
      <c r="Q147" s="279"/>
      <c r="R147" s="279"/>
    </row>
    <row r="148" spans="1:19">
      <c r="A148" s="83"/>
      <c r="D148" s="409" t="s">
        <v>542</v>
      </c>
      <c r="E148" s="409"/>
      <c r="F148" s="442"/>
      <c r="G148" s="442"/>
      <c r="H148" s="443"/>
      <c r="J148" s="83"/>
      <c r="K148" s="83"/>
      <c r="L148" s="83"/>
      <c r="M148" s="162"/>
      <c r="N148" s="162"/>
      <c r="Q148" s="279" t="s">
        <v>543</v>
      </c>
      <c r="R148" s="279" t="s">
        <v>544</v>
      </c>
      <c r="S148" s="322">
        <v>1.3720000000000001</v>
      </c>
    </row>
    <row r="149" spans="1:19">
      <c r="A149" s="83"/>
      <c r="D149" s="165"/>
      <c r="E149" s="165"/>
      <c r="F149" s="83"/>
      <c r="G149" s="83"/>
      <c r="Q149" s="279"/>
      <c r="R149" s="279"/>
    </row>
    <row r="150" spans="1:19">
      <c r="D150" s="261" t="s">
        <v>364</v>
      </c>
      <c r="Q150" s="279"/>
      <c r="R150" s="279"/>
    </row>
    <row r="151" spans="1:19">
      <c r="D151" s="262" t="s">
        <v>365</v>
      </c>
      <c r="Q151" s="279"/>
      <c r="R151" s="279"/>
    </row>
    <row r="152" spans="1:19">
      <c r="D152" s="210" t="s">
        <v>366</v>
      </c>
      <c r="Q152" s="279"/>
      <c r="R152" s="279"/>
    </row>
    <row r="153" spans="1:19">
      <c r="D153" s="159"/>
      <c r="Q153" s="279"/>
      <c r="R153" s="279"/>
    </row>
    <row r="154" spans="1:19">
      <c r="D154" s="262" t="s">
        <v>367</v>
      </c>
      <c r="Q154" s="279"/>
      <c r="R154" s="279"/>
    </row>
    <row r="155" spans="1:19">
      <c r="D155" s="262" t="s">
        <v>368</v>
      </c>
      <c r="Q155" s="279"/>
      <c r="R155" s="279"/>
    </row>
    <row r="156" spans="1:19">
      <c r="D156" s="159"/>
      <c r="Q156" s="279"/>
      <c r="R156" s="279"/>
    </row>
    <row r="157" spans="1:19">
      <c r="D157" s="262" t="s">
        <v>369</v>
      </c>
      <c r="Q157" s="279"/>
      <c r="R157" s="279"/>
    </row>
    <row r="158" spans="1:19">
      <c r="D158" s="210" t="s">
        <v>370</v>
      </c>
      <c r="Q158" s="279"/>
      <c r="R158" s="279"/>
    </row>
    <row r="159" spans="1:19">
      <c r="Q159" s="279"/>
      <c r="R159" s="279"/>
    </row>
  </sheetData>
  <sheetProtection autoFilter="0"/>
  <autoFilter ref="A7:AA57" xr:uid="{31BC6A40-A43C-4532-9789-88133D8BA047}"/>
  <pageMargins left="0.25" right="0.25" top="0.75" bottom="0.75" header="0.3" footer="0.3"/>
  <pageSetup scale="98" orientation="landscape" r:id="rId1"/>
  <headerFooter alignWithMargins="0"/>
  <rowBreaks count="1" manualBreakCount="1">
    <brk id="94" max="16383"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305F6-6E9B-44E3-86EA-381443800B26}">
  <sheetPr codeName="Sheet13">
    <tabColor theme="7" tint="0.39997558519241921"/>
    <pageSetUpPr fitToPage="1"/>
  </sheetPr>
  <dimension ref="A1:AK177"/>
  <sheetViews>
    <sheetView showGridLines="0" tabSelected="1" topLeftCell="A148" zoomScaleNormal="100" workbookViewId="0">
      <selection activeCell="D160" sqref="D160"/>
    </sheetView>
  </sheetViews>
  <sheetFormatPr defaultColWidth="9.140625" defaultRowHeight="15"/>
  <cols>
    <col min="1" max="1" width="24.42578125" style="221" customWidth="1"/>
    <col min="2" max="2" width="58.7109375" style="221" bestFit="1" customWidth="1"/>
    <col min="3" max="6" width="9.7109375" style="220" customWidth="1"/>
    <col min="7" max="7" width="12" style="162" bestFit="1" customWidth="1"/>
    <col min="8" max="8" width="16.85546875" style="162" bestFit="1" customWidth="1"/>
    <col min="9" max="9" width="12" style="162" bestFit="1" customWidth="1"/>
    <col min="10" max="10" width="15.7109375" style="162" customWidth="1"/>
    <col min="11" max="12" width="12" style="162" bestFit="1" customWidth="1"/>
    <col min="13" max="13" width="11" style="162" bestFit="1" customWidth="1"/>
    <col min="14" max="14" width="11" style="159" bestFit="1" customWidth="1"/>
    <col min="15" max="15" width="162.42578125" style="532" hidden="1" customWidth="1"/>
    <col min="16" max="16" width="58.85546875" style="524" hidden="1" customWidth="1"/>
    <col min="17" max="17" width="11" style="525" hidden="1" customWidth="1"/>
    <col min="18" max="19" width="11" style="526" hidden="1" customWidth="1"/>
    <col min="20" max="20" width="15" style="526" hidden="1" customWidth="1"/>
    <col min="21" max="23" width="11" style="526" hidden="1" customWidth="1"/>
    <col min="24" max="24" width="11" style="527" hidden="1" customWidth="1"/>
    <col min="25" max="25" width="2.42578125" style="286" hidden="1" customWidth="1"/>
    <col min="26" max="26" width="43.42578125" style="279" hidden="1" customWidth="1"/>
    <col min="27" max="27" width="58.28515625" style="279" hidden="1" customWidth="1"/>
    <col min="28" max="35" width="11" style="279" hidden="1" customWidth="1"/>
    <col min="36" max="37" width="0" style="159" hidden="1" customWidth="1"/>
    <col min="38" max="16384" width="9.140625" style="159"/>
  </cols>
  <sheetData>
    <row r="1" spans="1:37">
      <c r="A1" s="221" t="s">
        <v>545</v>
      </c>
    </row>
    <row r="2" spans="1:37">
      <c r="A2" s="622" t="s">
        <v>546</v>
      </c>
      <c r="O2" s="523" t="s">
        <v>546</v>
      </c>
    </row>
    <row r="3" spans="1:37">
      <c r="A3" s="402" t="s">
        <v>547</v>
      </c>
      <c r="B3" s="449">
        <v>4.4999999999999998E-2</v>
      </c>
      <c r="C3" s="501"/>
      <c r="D3" s="501"/>
      <c r="E3" s="501"/>
      <c r="F3" s="501"/>
      <c r="O3" s="528" t="s">
        <v>547</v>
      </c>
      <c r="P3" s="529">
        <v>4.4999999999999998E-2</v>
      </c>
      <c r="Q3" s="530"/>
    </row>
    <row r="4" spans="1:37">
      <c r="A4" s="221" t="s">
        <v>548</v>
      </c>
      <c r="B4" s="449">
        <v>1.0000000000000009E-2</v>
      </c>
      <c r="C4" s="501"/>
      <c r="D4" s="501"/>
      <c r="E4" s="501"/>
      <c r="F4" s="501"/>
      <c r="O4" s="524" t="s">
        <v>548</v>
      </c>
      <c r="P4" s="529">
        <v>1.0000000000000009E-2</v>
      </c>
      <c r="Q4" s="530"/>
    </row>
    <row r="5" spans="1:37">
      <c r="A5" s="221" t="s">
        <v>549</v>
      </c>
      <c r="B5" s="270">
        <v>1.5</v>
      </c>
      <c r="C5" s="269"/>
      <c r="D5" s="269"/>
      <c r="E5" s="269"/>
      <c r="F5" s="269"/>
      <c r="O5" s="524" t="s">
        <v>549</v>
      </c>
      <c r="P5" s="531">
        <v>1.5</v>
      </c>
      <c r="Q5" s="436"/>
    </row>
    <row r="6" spans="1:37">
      <c r="A6" s="221" t="s">
        <v>550</v>
      </c>
      <c r="B6" s="449">
        <v>4.0000000000000036E-2</v>
      </c>
      <c r="C6" s="501"/>
      <c r="D6" s="501"/>
      <c r="E6" s="501"/>
      <c r="F6" s="501"/>
      <c r="O6" s="524" t="s">
        <v>550</v>
      </c>
      <c r="P6" s="529">
        <v>4.0000000000000036E-2</v>
      </c>
      <c r="Q6" s="530"/>
    </row>
    <row r="7" spans="1:37">
      <c r="A7" s="221" t="s">
        <v>551</v>
      </c>
      <c r="G7" s="220"/>
      <c r="H7" s="269"/>
      <c r="O7" s="532" t="s">
        <v>552</v>
      </c>
      <c r="R7" s="436"/>
      <c r="Z7" s="279" t="s">
        <v>553</v>
      </c>
    </row>
    <row r="8" spans="1:37">
      <c r="A8" s="623" t="s">
        <v>554</v>
      </c>
      <c r="H8" s="269"/>
      <c r="O8" s="533" t="s">
        <v>555</v>
      </c>
      <c r="R8" s="436"/>
      <c r="Z8" s="279" t="s">
        <v>556</v>
      </c>
    </row>
    <row r="9" spans="1:37">
      <c r="H9" s="403"/>
      <c r="N9" s="162"/>
      <c r="R9" s="534"/>
      <c r="X9" s="526"/>
    </row>
    <row r="10" spans="1:37" ht="30">
      <c r="A10" s="624" t="s">
        <v>7</v>
      </c>
      <c r="B10" s="382" t="s">
        <v>440</v>
      </c>
      <c r="C10" s="504" t="s">
        <v>557</v>
      </c>
      <c r="D10" s="381" t="s">
        <v>374</v>
      </c>
      <c r="E10" s="381" t="s">
        <v>373</v>
      </c>
      <c r="F10" s="381" t="s">
        <v>558</v>
      </c>
      <c r="G10" s="381" t="s">
        <v>376</v>
      </c>
      <c r="H10" s="383" t="s">
        <v>154</v>
      </c>
      <c r="I10" s="383" t="s">
        <v>156</v>
      </c>
      <c r="J10" s="383" t="s">
        <v>158</v>
      </c>
      <c r="K10" s="383" t="s">
        <v>170</v>
      </c>
      <c r="L10" s="383" t="s">
        <v>441</v>
      </c>
      <c r="M10" s="383" t="s">
        <v>442</v>
      </c>
      <c r="N10" s="383" t="s">
        <v>443</v>
      </c>
      <c r="O10" s="535" t="s">
        <v>7</v>
      </c>
      <c r="P10" s="536" t="s">
        <v>440</v>
      </c>
      <c r="Q10" s="535" t="s">
        <v>373</v>
      </c>
      <c r="R10" s="537" t="s">
        <v>154</v>
      </c>
      <c r="S10" s="537" t="s">
        <v>156</v>
      </c>
      <c r="T10" s="537" t="s">
        <v>158</v>
      </c>
      <c r="U10" s="537" t="s">
        <v>170</v>
      </c>
      <c r="V10" s="537" t="s">
        <v>441</v>
      </c>
      <c r="W10" s="537" t="s">
        <v>442</v>
      </c>
      <c r="X10" s="537" t="s">
        <v>443</v>
      </c>
      <c r="Y10" s="279"/>
      <c r="Z10" s="506" t="s">
        <v>7</v>
      </c>
      <c r="AA10" s="507" t="s">
        <v>440</v>
      </c>
      <c r="AB10" s="506" t="s">
        <v>373</v>
      </c>
      <c r="AC10" s="508" t="s">
        <v>154</v>
      </c>
      <c r="AD10" s="508" t="s">
        <v>156</v>
      </c>
      <c r="AE10" s="508" t="s">
        <v>158</v>
      </c>
      <c r="AF10" s="508" t="s">
        <v>170</v>
      </c>
      <c r="AG10" s="508" t="s">
        <v>441</v>
      </c>
      <c r="AH10" s="508" t="s">
        <v>442</v>
      </c>
      <c r="AI10" s="508" t="s">
        <v>443</v>
      </c>
    </row>
    <row r="11" spans="1:37">
      <c r="A11" s="211" t="s">
        <v>45</v>
      </c>
      <c r="B11" s="211" t="s">
        <v>46</v>
      </c>
      <c r="C11" s="505">
        <v>228</v>
      </c>
      <c r="D11" s="162">
        <v>5</v>
      </c>
      <c r="E11" s="162">
        <v>15</v>
      </c>
      <c r="F11" s="162" t="s">
        <v>17</v>
      </c>
      <c r="G11" s="162" t="s">
        <v>18</v>
      </c>
      <c r="H11" s="269">
        <f>AC11</f>
        <v>36.771999999999998</v>
      </c>
      <c r="I11" s="269"/>
      <c r="J11" s="269"/>
      <c r="K11" s="269"/>
      <c r="L11" s="269"/>
      <c r="M11" s="269"/>
      <c r="N11" s="269"/>
      <c r="O11" s="526" t="s">
        <v>45</v>
      </c>
      <c r="P11" s="538" t="s">
        <v>46</v>
      </c>
      <c r="Q11" s="526">
        <v>15</v>
      </c>
      <c r="R11" s="436">
        <v>38.511844799999999</v>
      </c>
      <c r="S11" s="436"/>
      <c r="T11" s="436"/>
      <c r="U11" s="436"/>
      <c r="V11" s="436"/>
      <c r="W11" s="436"/>
      <c r="X11" s="436"/>
      <c r="Y11" s="620"/>
      <c r="Z11" s="279" t="str">
        <f t="shared" ref="Z11:Z58" si="0">O11</f>
        <v>00500C</v>
      </c>
      <c r="AA11" s="279" t="str">
        <f t="shared" ref="AA11:AA58" si="1">P11</f>
        <v>Asphalt Raker</v>
      </c>
      <c r="AB11" s="286">
        <f t="shared" ref="AB11:AB58" si="2">Q11</f>
        <v>15</v>
      </c>
      <c r="AC11" s="284">
        <f>ROUND(R11-1.74,3)</f>
        <v>36.771999999999998</v>
      </c>
      <c r="AJ11" s="276"/>
      <c r="AK11" s="276"/>
    </row>
    <row r="12" spans="1:37">
      <c r="A12" s="211" t="s">
        <v>21</v>
      </c>
      <c r="B12" s="211" t="s">
        <v>22</v>
      </c>
      <c r="C12" s="505">
        <v>228</v>
      </c>
      <c r="D12" s="162">
        <v>5</v>
      </c>
      <c r="E12" s="162" t="s">
        <v>319</v>
      </c>
      <c r="F12" s="162" t="s">
        <v>17</v>
      </c>
      <c r="G12" s="162" t="s">
        <v>18</v>
      </c>
      <c r="H12" s="269">
        <f t="shared" ref="H12:H18" si="3">AC12</f>
        <v>32.274000000000001</v>
      </c>
      <c r="I12" s="269">
        <f t="shared" ref="I12:I18" si="4">AD12</f>
        <v>33.223999999999997</v>
      </c>
      <c r="J12" s="269">
        <f t="shared" ref="J12:J18" si="5">AE12</f>
        <v>34.203000000000003</v>
      </c>
      <c r="K12" s="269">
        <f t="shared" ref="K12:K18" si="6">AF12</f>
        <v>35.213000000000001</v>
      </c>
      <c r="L12" s="269"/>
      <c r="M12" s="269"/>
      <c r="N12" s="269"/>
      <c r="O12" s="526" t="s">
        <v>21</v>
      </c>
      <c r="P12" s="538" t="s">
        <v>22</v>
      </c>
      <c r="Q12" s="526" t="s">
        <v>319</v>
      </c>
      <c r="R12" s="436">
        <v>34.013601335999994</v>
      </c>
      <c r="S12" s="436">
        <v>34.964181823999994</v>
      </c>
      <c r="T12" s="436">
        <v>35.94330167999999</v>
      </c>
      <c r="U12" s="436">
        <v>36.953156240000006</v>
      </c>
      <c r="V12" s="436"/>
      <c r="W12" s="436"/>
      <c r="X12" s="436"/>
      <c r="Y12" s="620"/>
      <c r="Z12" s="279" t="str">
        <f t="shared" si="0"/>
        <v>00505C</v>
      </c>
      <c r="AA12" s="279" t="str">
        <f t="shared" si="1"/>
        <v>Asphalt Raker Apprentice I (1st 522 hours)</v>
      </c>
      <c r="AB12" s="286" t="str">
        <f t="shared" si="2"/>
        <v>32</v>
      </c>
      <c r="AC12" s="284">
        <f t="shared" ref="AC12:AC58" si="7">ROUND(R12-1.74,3)</f>
        <v>32.274000000000001</v>
      </c>
      <c r="AD12" s="284">
        <f t="shared" ref="AD12:AD18" si="8">ROUND(S12-1.74,3)</f>
        <v>33.223999999999997</v>
      </c>
      <c r="AE12" s="284">
        <f t="shared" ref="AE12:AE18" si="9">ROUND(T12-1.74,3)</f>
        <v>34.203000000000003</v>
      </c>
      <c r="AF12" s="284">
        <f t="shared" ref="AF12:AF18" si="10">ROUND(U12-1.74,3)</f>
        <v>35.213000000000001</v>
      </c>
      <c r="AJ12" s="276"/>
      <c r="AK12" s="276"/>
    </row>
    <row r="13" spans="1:37">
      <c r="A13" s="211" t="s">
        <v>25</v>
      </c>
      <c r="B13" s="211" t="s">
        <v>26</v>
      </c>
      <c r="C13" s="505">
        <v>228</v>
      </c>
      <c r="D13" s="162">
        <v>5</v>
      </c>
      <c r="E13" s="162" t="s">
        <v>321</v>
      </c>
      <c r="F13" s="162" t="s">
        <v>17</v>
      </c>
      <c r="G13" s="162" t="s">
        <v>18</v>
      </c>
      <c r="H13" s="269">
        <f t="shared" si="3"/>
        <v>32.781999999999996</v>
      </c>
      <c r="I13" s="269">
        <f t="shared" si="4"/>
        <v>33.732999999999997</v>
      </c>
      <c r="J13" s="269">
        <f t="shared" si="5"/>
        <v>34.713000000000001</v>
      </c>
      <c r="K13" s="269">
        <f t="shared" si="6"/>
        <v>35.720999999999997</v>
      </c>
      <c r="L13" s="269"/>
      <c r="M13" s="269"/>
      <c r="N13" s="269"/>
      <c r="O13" s="526" t="s">
        <v>25</v>
      </c>
      <c r="P13" s="538" t="s">
        <v>26</v>
      </c>
      <c r="Q13" s="526" t="s">
        <v>321</v>
      </c>
      <c r="R13" s="436">
        <v>34.521821619999997</v>
      </c>
      <c r="S13" s="436">
        <v>35.473499775999997</v>
      </c>
      <c r="T13" s="436">
        <v>36.452619632000001</v>
      </c>
      <c r="U13" s="436">
        <v>37.461376524000002</v>
      </c>
      <c r="V13" s="436"/>
      <c r="W13" s="436"/>
      <c r="X13" s="436"/>
      <c r="Y13" s="620"/>
      <c r="Z13" s="279" t="str">
        <f t="shared" si="0"/>
        <v>00507C</v>
      </c>
      <c r="AA13" s="279" t="str">
        <f t="shared" si="1"/>
        <v>Asphalt Raker Apprentice II (2nd 522 hours)</v>
      </c>
      <c r="AB13" s="286" t="str">
        <f t="shared" si="2"/>
        <v>33</v>
      </c>
      <c r="AC13" s="284">
        <f t="shared" si="7"/>
        <v>32.781999999999996</v>
      </c>
      <c r="AD13" s="284">
        <f t="shared" si="8"/>
        <v>33.732999999999997</v>
      </c>
      <c r="AE13" s="284">
        <f t="shared" si="9"/>
        <v>34.713000000000001</v>
      </c>
      <c r="AF13" s="284">
        <f t="shared" si="10"/>
        <v>35.720999999999997</v>
      </c>
      <c r="AJ13" s="276"/>
      <c r="AK13" s="276"/>
    </row>
    <row r="14" spans="1:37">
      <c r="A14" s="211" t="s">
        <v>48</v>
      </c>
      <c r="B14" s="211" t="s">
        <v>49</v>
      </c>
      <c r="C14" s="505">
        <v>178</v>
      </c>
      <c r="D14" s="162">
        <v>3</v>
      </c>
      <c r="E14" s="162" t="s">
        <v>47</v>
      </c>
      <c r="F14" s="162" t="s">
        <v>17</v>
      </c>
      <c r="G14" s="162" t="s">
        <v>18</v>
      </c>
      <c r="H14" s="269">
        <f t="shared" si="3"/>
        <v>20.193000000000001</v>
      </c>
      <c r="I14" s="269">
        <f t="shared" si="4"/>
        <v>23.196999999999999</v>
      </c>
      <c r="J14" s="269">
        <f t="shared" si="5"/>
        <v>24.425999999999998</v>
      </c>
      <c r="K14" s="269">
        <f t="shared" si="6"/>
        <v>30.228999999999999</v>
      </c>
      <c r="L14" s="269"/>
      <c r="M14" s="269"/>
      <c r="N14" s="269"/>
      <c r="O14" s="526" t="s">
        <v>48</v>
      </c>
      <c r="P14" s="538" t="s">
        <v>49</v>
      </c>
      <c r="Q14" s="526" t="s">
        <v>47</v>
      </c>
      <c r="R14" s="436">
        <v>21.932667327999997</v>
      </c>
      <c r="S14" s="436">
        <v>24.936984643999999</v>
      </c>
      <c r="T14" s="436">
        <v>26.166372803999998</v>
      </c>
      <c r="U14" s="436">
        <v>31.968645851999998</v>
      </c>
      <c r="V14" s="436"/>
      <c r="W14" s="436"/>
      <c r="X14" s="436"/>
      <c r="Y14" s="620"/>
      <c r="Z14" s="279" t="str">
        <f t="shared" si="0"/>
        <v>01060C</v>
      </c>
      <c r="AA14" s="279" t="str">
        <f t="shared" si="1"/>
        <v>Attendant Impound Lot</v>
      </c>
      <c r="AB14" s="286" t="str">
        <f t="shared" si="2"/>
        <v>02</v>
      </c>
      <c r="AC14" s="284">
        <f t="shared" si="7"/>
        <v>20.193000000000001</v>
      </c>
      <c r="AD14" s="284">
        <f t="shared" si="8"/>
        <v>23.196999999999999</v>
      </c>
      <c r="AE14" s="284">
        <f t="shared" si="9"/>
        <v>24.425999999999998</v>
      </c>
      <c r="AF14" s="284">
        <f t="shared" si="10"/>
        <v>30.228999999999999</v>
      </c>
      <c r="AJ14" s="276"/>
      <c r="AK14" s="276"/>
    </row>
    <row r="15" spans="1:37">
      <c r="A15" s="211" t="s">
        <v>31</v>
      </c>
      <c r="B15" s="211" t="s">
        <v>32</v>
      </c>
      <c r="C15" s="505">
        <v>280</v>
      </c>
      <c r="D15" s="162">
        <v>6</v>
      </c>
      <c r="E15" s="162" t="s">
        <v>321</v>
      </c>
      <c r="F15" s="162" t="s">
        <v>17</v>
      </c>
      <c r="G15" s="162" t="s">
        <v>18</v>
      </c>
      <c r="H15" s="269">
        <f t="shared" si="3"/>
        <v>32.781999999999996</v>
      </c>
      <c r="I15" s="269">
        <f t="shared" si="4"/>
        <v>33.732999999999997</v>
      </c>
      <c r="J15" s="269">
        <f t="shared" si="5"/>
        <v>34.713000000000001</v>
      </c>
      <c r="K15" s="269">
        <f t="shared" si="6"/>
        <v>35.720999999999997</v>
      </c>
      <c r="L15" s="269"/>
      <c r="M15" s="269"/>
      <c r="N15" s="269"/>
      <c r="O15" s="526" t="s">
        <v>31</v>
      </c>
      <c r="P15" s="538" t="s">
        <v>32</v>
      </c>
      <c r="Q15" s="526" t="s">
        <v>321</v>
      </c>
      <c r="R15" s="436">
        <v>34.521821619999997</v>
      </c>
      <c r="S15" s="436">
        <v>35.473499775999997</v>
      </c>
      <c r="T15" s="436">
        <v>36.452619632000001</v>
      </c>
      <c r="U15" s="436">
        <v>37.461376524000002</v>
      </c>
      <c r="V15" s="436"/>
      <c r="W15" s="436"/>
      <c r="X15" s="436"/>
      <c r="Y15" s="620"/>
      <c r="Z15" s="279" t="str">
        <f t="shared" si="0"/>
        <v>01585C</v>
      </c>
      <c r="AA15" s="279" t="str">
        <f t="shared" si="1"/>
        <v>Cement Finisher Apprentice I (1st 174 hours)</v>
      </c>
      <c r="AB15" s="286" t="str">
        <f t="shared" si="2"/>
        <v>33</v>
      </c>
      <c r="AC15" s="284">
        <f t="shared" si="7"/>
        <v>32.781999999999996</v>
      </c>
      <c r="AD15" s="284">
        <f t="shared" si="8"/>
        <v>33.732999999999997</v>
      </c>
      <c r="AE15" s="284">
        <f t="shared" si="9"/>
        <v>34.713000000000001</v>
      </c>
      <c r="AF15" s="284">
        <f t="shared" si="10"/>
        <v>35.720999999999997</v>
      </c>
      <c r="AJ15" s="276"/>
      <c r="AK15" s="276"/>
    </row>
    <row r="16" spans="1:37">
      <c r="A16" s="211" t="s">
        <v>35</v>
      </c>
      <c r="B16" s="211" t="s">
        <v>36</v>
      </c>
      <c r="C16" s="505">
        <v>280</v>
      </c>
      <c r="D16" s="162">
        <v>6</v>
      </c>
      <c r="E16" s="162" t="s">
        <v>322</v>
      </c>
      <c r="F16" s="162" t="s">
        <v>17</v>
      </c>
      <c r="G16" s="162" t="s">
        <v>18</v>
      </c>
      <c r="H16" s="269">
        <f t="shared" si="3"/>
        <v>33.218000000000004</v>
      </c>
      <c r="I16" s="269">
        <f t="shared" si="4"/>
        <v>34.168999999999997</v>
      </c>
      <c r="J16" s="269">
        <f t="shared" si="5"/>
        <v>35.146999999999998</v>
      </c>
      <c r="K16" s="269">
        <f t="shared" si="6"/>
        <v>36.156999999999996</v>
      </c>
      <c r="L16" s="269"/>
      <c r="M16" s="269"/>
      <c r="N16" s="269"/>
      <c r="O16" s="526" t="s">
        <v>35</v>
      </c>
      <c r="P16" s="538" t="s">
        <v>36</v>
      </c>
      <c r="Q16" s="526" t="s">
        <v>322</v>
      </c>
      <c r="R16" s="436">
        <v>34.957595815999994</v>
      </c>
      <c r="S16" s="436">
        <v>35.909273972000001</v>
      </c>
      <c r="T16" s="436">
        <v>36.887296159999991</v>
      </c>
      <c r="U16" s="436">
        <v>37.897150719999992</v>
      </c>
      <c r="V16" s="436"/>
      <c r="W16" s="436"/>
      <c r="X16" s="436"/>
      <c r="Y16" s="620"/>
      <c r="Z16" s="279" t="str">
        <f t="shared" si="0"/>
        <v>01586C</v>
      </c>
      <c r="AA16" s="279" t="str">
        <f t="shared" si="1"/>
        <v>Cement Finisher Apprentice II (Next 696 hours)</v>
      </c>
      <c r="AB16" s="286" t="str">
        <f t="shared" si="2"/>
        <v>35</v>
      </c>
      <c r="AC16" s="284">
        <f t="shared" si="7"/>
        <v>33.218000000000004</v>
      </c>
      <c r="AD16" s="284">
        <f t="shared" si="8"/>
        <v>34.168999999999997</v>
      </c>
      <c r="AE16" s="284">
        <f t="shared" si="9"/>
        <v>35.146999999999998</v>
      </c>
      <c r="AF16" s="284">
        <f t="shared" si="10"/>
        <v>36.156999999999996</v>
      </c>
      <c r="AJ16" s="276"/>
      <c r="AK16" s="276"/>
    </row>
    <row r="17" spans="1:37">
      <c r="A17" s="211" t="s">
        <v>39</v>
      </c>
      <c r="B17" s="211" t="s">
        <v>40</v>
      </c>
      <c r="C17" s="505">
        <v>280</v>
      </c>
      <c r="D17" s="162">
        <v>6</v>
      </c>
      <c r="E17" s="162" t="s">
        <v>323</v>
      </c>
      <c r="F17" s="162" t="s">
        <v>17</v>
      </c>
      <c r="G17" s="162" t="s">
        <v>18</v>
      </c>
      <c r="H17" s="269">
        <f t="shared" si="3"/>
        <v>34.597000000000001</v>
      </c>
      <c r="I17" s="269">
        <f t="shared" si="4"/>
        <v>35.548999999999999</v>
      </c>
      <c r="J17" s="269">
        <f t="shared" si="5"/>
        <v>36.529000000000003</v>
      </c>
      <c r="K17" s="269">
        <f t="shared" si="6"/>
        <v>37.539000000000001</v>
      </c>
      <c r="L17" s="269"/>
      <c r="M17" s="269"/>
      <c r="N17" s="269"/>
      <c r="O17" s="526" t="s">
        <v>39</v>
      </c>
      <c r="P17" s="538" t="s">
        <v>40</v>
      </c>
      <c r="Q17" s="526" t="s">
        <v>323</v>
      </c>
      <c r="R17" s="436">
        <v>36.337364491999992</v>
      </c>
      <c r="S17" s="436">
        <v>37.289042647999999</v>
      </c>
      <c r="T17" s="436">
        <v>38.269260172000003</v>
      </c>
      <c r="U17" s="436">
        <v>39.279114731999996</v>
      </c>
      <c r="V17" s="436"/>
      <c r="W17" s="436"/>
      <c r="X17" s="436"/>
      <c r="Y17" s="620"/>
      <c r="Z17" s="279" t="str">
        <f t="shared" si="0"/>
        <v>01587C</v>
      </c>
      <c r="AA17" s="279" t="str">
        <f t="shared" si="1"/>
        <v>Cement Finisher Apprentice III (Next 696 hours)</v>
      </c>
      <c r="AB17" s="286" t="str">
        <f t="shared" si="2"/>
        <v>36</v>
      </c>
      <c r="AC17" s="284">
        <f t="shared" si="7"/>
        <v>34.597000000000001</v>
      </c>
      <c r="AD17" s="284">
        <f t="shared" si="8"/>
        <v>35.548999999999999</v>
      </c>
      <c r="AE17" s="284">
        <f t="shared" si="9"/>
        <v>36.529000000000003</v>
      </c>
      <c r="AF17" s="284">
        <f t="shared" si="10"/>
        <v>37.539000000000001</v>
      </c>
      <c r="AJ17" s="276"/>
      <c r="AK17" s="276"/>
    </row>
    <row r="18" spans="1:37">
      <c r="A18" s="211" t="s">
        <v>42</v>
      </c>
      <c r="B18" s="211" t="s">
        <v>43</v>
      </c>
      <c r="C18" s="505">
        <v>280</v>
      </c>
      <c r="D18" s="162">
        <v>6</v>
      </c>
      <c r="E18" s="162" t="s">
        <v>324</v>
      </c>
      <c r="F18" s="162" t="s">
        <v>17</v>
      </c>
      <c r="G18" s="162" t="s">
        <v>18</v>
      </c>
      <c r="H18" s="269">
        <f t="shared" si="3"/>
        <v>35.688000000000002</v>
      </c>
      <c r="I18" s="269">
        <f t="shared" si="4"/>
        <v>36.640999999999998</v>
      </c>
      <c r="J18" s="269">
        <f t="shared" si="5"/>
        <v>37.619</v>
      </c>
      <c r="K18" s="269">
        <f t="shared" si="6"/>
        <v>38.628999999999998</v>
      </c>
      <c r="L18" s="269"/>
      <c r="M18" s="269"/>
      <c r="N18" s="269"/>
      <c r="O18" s="526" t="s">
        <v>42</v>
      </c>
      <c r="P18" s="538" t="s">
        <v>43</v>
      </c>
      <c r="Q18" s="526" t="s">
        <v>324</v>
      </c>
      <c r="R18" s="436">
        <v>37.428446483999998</v>
      </c>
      <c r="S18" s="436">
        <v>38.381222307999998</v>
      </c>
      <c r="T18" s="436">
        <v>39.359244495999995</v>
      </c>
      <c r="U18" s="436">
        <v>40.369099055999996</v>
      </c>
      <c r="V18" s="436"/>
      <c r="W18" s="436"/>
      <c r="X18" s="436"/>
      <c r="Y18" s="620"/>
      <c r="Z18" s="279" t="str">
        <f t="shared" si="0"/>
        <v>01588C</v>
      </c>
      <c r="AA18" s="279" t="str">
        <f t="shared" si="1"/>
        <v>Cement Finisher Apprentice IV (Next 696 hours)</v>
      </c>
      <c r="AB18" s="286" t="str">
        <f t="shared" si="2"/>
        <v>37</v>
      </c>
      <c r="AC18" s="284">
        <f t="shared" si="7"/>
        <v>35.688000000000002</v>
      </c>
      <c r="AD18" s="284">
        <f t="shared" si="8"/>
        <v>36.640999999999998</v>
      </c>
      <c r="AE18" s="284">
        <f t="shared" si="9"/>
        <v>37.619</v>
      </c>
      <c r="AF18" s="284">
        <f t="shared" si="10"/>
        <v>38.628999999999998</v>
      </c>
      <c r="AJ18" s="276"/>
      <c r="AK18" s="276"/>
    </row>
    <row r="19" spans="1:37">
      <c r="A19" s="211" t="s">
        <v>50</v>
      </c>
      <c r="B19" s="211" t="s">
        <v>51</v>
      </c>
      <c r="C19" s="505">
        <v>333</v>
      </c>
      <c r="D19" s="162">
        <v>7</v>
      </c>
      <c r="E19" s="162" t="s">
        <v>506</v>
      </c>
      <c r="F19" s="162" t="s">
        <v>17</v>
      </c>
      <c r="G19" s="162" t="s">
        <v>18</v>
      </c>
      <c r="H19" s="269">
        <f t="shared" ref="H19:H58" si="11">AC19</f>
        <v>44.302999999999997</v>
      </c>
      <c r="I19" s="269"/>
      <c r="J19" s="269"/>
      <c r="K19" s="269"/>
      <c r="L19" s="269"/>
      <c r="M19" s="269"/>
      <c r="N19" s="269"/>
      <c r="O19" s="526" t="s">
        <v>50</v>
      </c>
      <c r="P19" s="538" t="s">
        <v>51</v>
      </c>
      <c r="Q19" s="526" t="s">
        <v>506</v>
      </c>
      <c r="R19" s="436">
        <v>46.042944947999999</v>
      </c>
      <c r="S19" s="436"/>
      <c r="T19" s="436"/>
      <c r="U19" s="436"/>
      <c r="V19" s="436"/>
      <c r="W19" s="436"/>
      <c r="X19" s="436"/>
      <c r="Y19" s="620"/>
      <c r="Z19" s="279" t="str">
        <f t="shared" si="0"/>
        <v>01570C</v>
      </c>
      <c r="AA19" s="279" t="str">
        <f t="shared" si="1"/>
        <v>Cement Finisher Journeyman</v>
      </c>
      <c r="AB19" s="286" t="str">
        <f t="shared" si="2"/>
        <v>40</v>
      </c>
      <c r="AC19" s="284">
        <f t="shared" si="7"/>
        <v>44.302999999999997</v>
      </c>
      <c r="AJ19" s="276"/>
      <c r="AK19" s="276"/>
    </row>
    <row r="20" spans="1:37">
      <c r="A20" s="211" t="s">
        <v>53</v>
      </c>
      <c r="B20" s="211" t="s">
        <v>54</v>
      </c>
      <c r="C20" s="505">
        <v>188</v>
      </c>
      <c r="D20" s="162">
        <v>4</v>
      </c>
      <c r="E20" s="162" t="s">
        <v>52</v>
      </c>
      <c r="F20" s="162" t="s">
        <v>17</v>
      </c>
      <c r="G20" s="162" t="s">
        <v>18</v>
      </c>
      <c r="H20" s="269">
        <f t="shared" si="11"/>
        <v>23.959</v>
      </c>
      <c r="I20" s="269">
        <f t="shared" ref="I20" si="12">AD20</f>
        <v>27.222000000000001</v>
      </c>
      <c r="J20" s="269">
        <f t="shared" ref="J20" si="13">AE20</f>
        <v>32.561999999999998</v>
      </c>
      <c r="K20" s="269"/>
      <c r="L20" s="269"/>
      <c r="M20" s="269"/>
      <c r="N20" s="269"/>
      <c r="O20" s="526" t="s">
        <v>53</v>
      </c>
      <c r="P20" s="538" t="s">
        <v>54</v>
      </c>
      <c r="Q20" s="526" t="s">
        <v>52</v>
      </c>
      <c r="R20" s="436">
        <v>25.698766236000001</v>
      </c>
      <c r="S20" s="436">
        <v>28.962133199999997</v>
      </c>
      <c r="T20" s="436">
        <v>34.302288019999999</v>
      </c>
      <c r="U20" s="436"/>
      <c r="V20" s="436"/>
      <c r="W20" s="436"/>
      <c r="X20" s="436"/>
      <c r="Y20" s="620"/>
      <c r="Z20" s="279" t="str">
        <f t="shared" si="0"/>
        <v>02616C</v>
      </c>
      <c r="AA20" s="279" t="str">
        <f t="shared" si="1"/>
        <v>Constr Maint Labor WU Shop-C</v>
      </c>
      <c r="AB20" s="286" t="str">
        <f t="shared" si="2"/>
        <v>03</v>
      </c>
      <c r="AC20" s="284">
        <f t="shared" si="7"/>
        <v>23.959</v>
      </c>
      <c r="AD20" s="284">
        <f t="shared" ref="AD20" si="14">ROUND(S20-1.74,3)</f>
        <v>27.222000000000001</v>
      </c>
      <c r="AE20" s="284">
        <f t="shared" ref="AE20" si="15">ROUND(T20-1.74,3)</f>
        <v>32.561999999999998</v>
      </c>
      <c r="AJ20" s="276"/>
      <c r="AK20" s="276"/>
    </row>
    <row r="21" spans="1:37">
      <c r="A21" s="211" t="s">
        <v>377</v>
      </c>
      <c r="B21" s="211" t="s">
        <v>378</v>
      </c>
      <c r="C21" s="505">
        <v>273</v>
      </c>
      <c r="D21" s="162">
        <v>6</v>
      </c>
      <c r="E21" s="162" t="s">
        <v>332</v>
      </c>
      <c r="F21" s="162" t="s">
        <v>17</v>
      </c>
      <c r="G21" s="162" t="s">
        <v>18</v>
      </c>
      <c r="H21" s="269">
        <f t="shared" si="11"/>
        <v>37.398000000000003</v>
      </c>
      <c r="I21" s="269"/>
      <c r="J21" s="269"/>
      <c r="K21" s="269"/>
      <c r="L21" s="269"/>
      <c r="M21" s="269"/>
      <c r="N21" s="269"/>
      <c r="O21" s="526" t="s">
        <v>377</v>
      </c>
      <c r="P21" s="538" t="s">
        <v>378</v>
      </c>
      <c r="Q21" s="526" t="s">
        <v>332</v>
      </c>
      <c r="R21" s="436">
        <v>39.137515560000004</v>
      </c>
      <c r="S21" s="436"/>
      <c r="T21" s="436"/>
      <c r="U21" s="436"/>
      <c r="V21" s="436"/>
      <c r="W21" s="436"/>
      <c r="X21" s="436"/>
      <c r="Y21" s="620"/>
      <c r="Z21" s="279" t="str">
        <f t="shared" si="0"/>
        <v>52921C</v>
      </c>
      <c r="AA21" s="279" t="str">
        <f t="shared" si="1"/>
        <v>Construction Crew Leader</v>
      </c>
      <c r="AB21" s="286" t="str">
        <f t="shared" si="2"/>
        <v>31</v>
      </c>
      <c r="AC21" s="284">
        <f t="shared" si="7"/>
        <v>37.398000000000003</v>
      </c>
      <c r="AJ21" s="276"/>
      <c r="AK21" s="276"/>
    </row>
    <row r="22" spans="1:37">
      <c r="A22" s="211" t="s">
        <v>56</v>
      </c>
      <c r="B22" s="211" t="s">
        <v>57</v>
      </c>
      <c r="C22" s="505">
        <v>188</v>
      </c>
      <c r="D22" s="162">
        <v>4</v>
      </c>
      <c r="E22" s="162" t="s">
        <v>52</v>
      </c>
      <c r="F22" s="162" t="s">
        <v>17</v>
      </c>
      <c r="G22" s="162" t="s">
        <v>18</v>
      </c>
      <c r="H22" s="269">
        <f t="shared" si="11"/>
        <v>23.959</v>
      </c>
      <c r="I22" s="269">
        <f t="shared" ref="I22:I23" si="16">AD22</f>
        <v>27.222000000000001</v>
      </c>
      <c r="J22" s="269">
        <f t="shared" ref="J22:J23" si="17">AE22</f>
        <v>32.561999999999998</v>
      </c>
      <c r="K22" s="269"/>
      <c r="L22" s="269"/>
      <c r="M22" s="269"/>
      <c r="N22" s="269"/>
      <c r="O22" s="526" t="s">
        <v>56</v>
      </c>
      <c r="P22" s="538" t="s">
        <v>57</v>
      </c>
      <c r="Q22" s="526" t="s">
        <v>52</v>
      </c>
      <c r="R22" s="436">
        <v>25.698766236000001</v>
      </c>
      <c r="S22" s="436">
        <v>28.962133199999997</v>
      </c>
      <c r="T22" s="436">
        <v>34.302288019999999</v>
      </c>
      <c r="U22" s="436"/>
      <c r="V22" s="436"/>
      <c r="W22" s="436"/>
      <c r="X22" s="436"/>
      <c r="Y22" s="620"/>
      <c r="Z22" s="279" t="str">
        <f t="shared" si="0"/>
        <v>02610C</v>
      </c>
      <c r="AA22" s="279" t="str">
        <f t="shared" si="1"/>
        <v>Construction Maint Laborer</v>
      </c>
      <c r="AB22" s="286" t="str">
        <f t="shared" si="2"/>
        <v>03</v>
      </c>
      <c r="AC22" s="284">
        <f t="shared" ref="AC22:AC23" si="18">ROUND(R22-1.74,3)</f>
        <v>23.959</v>
      </c>
      <c r="AD22" s="284">
        <f t="shared" ref="AD22:AD24" si="19">ROUND(S22-1.74,3)</f>
        <v>27.222000000000001</v>
      </c>
      <c r="AE22" s="284">
        <f t="shared" ref="AE22:AE24" si="20">ROUND(T22-1.74,3)</f>
        <v>32.561999999999998</v>
      </c>
      <c r="AJ22" s="276"/>
      <c r="AK22" s="276"/>
    </row>
    <row r="23" spans="1:37">
      <c r="A23" s="211" t="s">
        <v>58</v>
      </c>
      <c r="B23" s="211" t="s">
        <v>59</v>
      </c>
      <c r="C23" s="505">
        <v>153</v>
      </c>
      <c r="D23" s="162">
        <v>3</v>
      </c>
      <c r="E23" s="162">
        <v>42</v>
      </c>
      <c r="F23" s="162" t="s">
        <v>17</v>
      </c>
      <c r="G23" s="162" t="s">
        <v>18</v>
      </c>
      <c r="H23" s="269">
        <f t="shared" si="11"/>
        <v>23.196999999999999</v>
      </c>
      <c r="I23" s="269">
        <f t="shared" si="16"/>
        <v>24.425999999999998</v>
      </c>
      <c r="J23" s="269">
        <f t="shared" si="17"/>
        <v>30.228999999999999</v>
      </c>
      <c r="K23" s="269"/>
      <c r="L23" s="269"/>
      <c r="M23" s="269"/>
      <c r="N23" s="269"/>
      <c r="O23" s="526" t="s">
        <v>58</v>
      </c>
      <c r="P23" s="538" t="s">
        <v>59</v>
      </c>
      <c r="Q23" s="526">
        <v>42</v>
      </c>
      <c r="R23" s="436">
        <v>24.936984643999999</v>
      </c>
      <c r="S23" s="436">
        <v>26.166372803999998</v>
      </c>
      <c r="T23" s="436">
        <v>31.968645851999998</v>
      </c>
      <c r="U23" s="436"/>
      <c r="V23" s="436"/>
      <c r="W23" s="436"/>
      <c r="X23" s="436"/>
      <c r="Y23" s="620"/>
      <c r="Z23" s="279" t="str">
        <f t="shared" si="0"/>
        <v>05850C</v>
      </c>
      <c r="AA23" s="279" t="str">
        <f t="shared" si="1"/>
        <v>Custodian Property Services</v>
      </c>
      <c r="AB23" s="286">
        <f t="shared" si="2"/>
        <v>42</v>
      </c>
      <c r="AC23" s="284">
        <f t="shared" si="18"/>
        <v>23.196999999999999</v>
      </c>
      <c r="AD23" s="284">
        <f t="shared" si="19"/>
        <v>24.425999999999998</v>
      </c>
      <c r="AE23" s="284">
        <f t="shared" si="20"/>
        <v>30.228999999999999</v>
      </c>
      <c r="AJ23" s="276"/>
      <c r="AK23" s="276"/>
    </row>
    <row r="24" spans="1:37">
      <c r="A24" s="211" t="s">
        <v>60</v>
      </c>
      <c r="B24" s="211" t="s">
        <v>61</v>
      </c>
      <c r="C24" s="505">
        <v>160</v>
      </c>
      <c r="D24" s="162">
        <v>3</v>
      </c>
      <c r="E24" s="162" t="s">
        <v>47</v>
      </c>
      <c r="F24" s="162" t="s">
        <v>17</v>
      </c>
      <c r="G24" s="162" t="s">
        <v>18</v>
      </c>
      <c r="H24" s="269">
        <f t="shared" ref="H24:H26" si="21">AC24</f>
        <v>20.193000000000001</v>
      </c>
      <c r="I24" s="269">
        <f t="shared" ref="I24:I26" si="22">AD24</f>
        <v>23.196999999999999</v>
      </c>
      <c r="J24" s="269">
        <f t="shared" ref="J24:J26" si="23">AE24</f>
        <v>24.425999999999998</v>
      </c>
      <c r="K24" s="269">
        <f t="shared" ref="K24:K26" si="24">AF24</f>
        <v>30.228999999999999</v>
      </c>
      <c r="L24" s="269"/>
      <c r="M24" s="269"/>
      <c r="N24" s="269"/>
      <c r="O24" s="526" t="s">
        <v>60</v>
      </c>
      <c r="P24" s="538" t="s">
        <v>61</v>
      </c>
      <c r="Q24" s="526" t="s">
        <v>47</v>
      </c>
      <c r="R24" s="436">
        <v>21.932667327999997</v>
      </c>
      <c r="S24" s="436">
        <v>24.936984643999999</v>
      </c>
      <c r="T24" s="436">
        <v>26.166372803999998</v>
      </c>
      <c r="U24" s="436">
        <v>31.968645851999998</v>
      </c>
      <c r="V24" s="436"/>
      <c r="W24" s="436"/>
      <c r="X24" s="436"/>
      <c r="Y24" s="620"/>
      <c r="Z24" s="279" t="str">
        <f t="shared" si="0"/>
        <v>02960C</v>
      </c>
      <c r="AA24" s="279" t="str">
        <f t="shared" si="1"/>
        <v>Delivery Worker</v>
      </c>
      <c r="AB24" s="286" t="str">
        <f t="shared" si="2"/>
        <v>02</v>
      </c>
      <c r="AC24" s="284">
        <f t="shared" si="7"/>
        <v>20.193000000000001</v>
      </c>
      <c r="AD24" s="284">
        <f t="shared" si="19"/>
        <v>23.196999999999999</v>
      </c>
      <c r="AE24" s="284">
        <f t="shared" si="20"/>
        <v>24.425999999999998</v>
      </c>
      <c r="AF24" s="284">
        <f t="shared" ref="AF24" si="25">ROUND(U24-1.74,3)</f>
        <v>30.228999999999999</v>
      </c>
      <c r="AJ24" s="276"/>
      <c r="AK24" s="276"/>
    </row>
    <row r="25" spans="1:37">
      <c r="A25" s="211" t="s">
        <v>63</v>
      </c>
      <c r="B25" s="211" t="s">
        <v>64</v>
      </c>
      <c r="C25" s="505">
        <v>220</v>
      </c>
      <c r="D25" s="162">
        <v>4</v>
      </c>
      <c r="E25" s="162">
        <v>44</v>
      </c>
      <c r="F25" s="162" t="s">
        <v>17</v>
      </c>
      <c r="G25" s="162" t="s">
        <v>18</v>
      </c>
      <c r="H25" s="269">
        <f t="shared" si="21"/>
        <v>23.780999999999999</v>
      </c>
      <c r="I25" s="269">
        <f t="shared" si="22"/>
        <v>27.091000000000001</v>
      </c>
      <c r="J25" s="269">
        <f t="shared" si="23"/>
        <v>30.622</v>
      </c>
      <c r="K25" s="269">
        <f t="shared" si="24"/>
        <v>36.228999999999999</v>
      </c>
      <c r="L25" s="269"/>
      <c r="M25" s="269"/>
      <c r="N25" s="269"/>
      <c r="O25" s="526" t="s">
        <v>63</v>
      </c>
      <c r="P25" s="538" t="s">
        <v>64</v>
      </c>
      <c r="Q25" s="526" t="s">
        <v>62</v>
      </c>
      <c r="R25" s="436">
        <f>23.781+1.74</f>
        <v>25.520999999999997</v>
      </c>
      <c r="S25" s="436">
        <f>27.091+1.74</f>
        <v>28.831</v>
      </c>
      <c r="T25" s="436">
        <f>30.622+1.74</f>
        <v>32.362000000000002</v>
      </c>
      <c r="U25" s="436">
        <f>36.229+1.74</f>
        <v>37.969000000000001</v>
      </c>
      <c r="V25" s="436"/>
      <c r="W25" s="436"/>
      <c r="X25" s="436"/>
      <c r="Y25" s="620"/>
      <c r="Z25" s="279" t="str">
        <f t="shared" si="0"/>
        <v>04170C</v>
      </c>
      <c r="AA25" s="279" t="str">
        <f t="shared" si="1"/>
        <v>Equipment Service Worker</v>
      </c>
      <c r="AB25" s="286" t="str">
        <f t="shared" si="2"/>
        <v>05</v>
      </c>
      <c r="AC25" s="284">
        <f t="shared" ref="AC25:AC26" si="26">ROUND(R25-1.74,3)</f>
        <v>23.780999999999999</v>
      </c>
      <c r="AD25" s="284">
        <f t="shared" ref="AD25:AD26" si="27">ROUND(S25-1.74,3)</f>
        <v>27.091000000000001</v>
      </c>
      <c r="AE25" s="284">
        <f t="shared" ref="AE25:AE26" si="28">ROUND(T25-1.74,3)</f>
        <v>30.622</v>
      </c>
      <c r="AF25" s="284">
        <f t="shared" ref="AF25:AF26" si="29">ROUND(U25-1.74,3)</f>
        <v>36.228999999999999</v>
      </c>
      <c r="AJ25" s="276"/>
      <c r="AK25" s="276"/>
    </row>
    <row r="26" spans="1:37">
      <c r="A26" s="211" t="s">
        <v>66</v>
      </c>
      <c r="B26" s="211" t="s">
        <v>67</v>
      </c>
      <c r="C26" s="505">
        <v>263</v>
      </c>
      <c r="D26" s="162">
        <v>5</v>
      </c>
      <c r="E26" s="162" t="s">
        <v>65</v>
      </c>
      <c r="F26" s="162" t="s">
        <v>17</v>
      </c>
      <c r="G26" s="162" t="s">
        <v>18</v>
      </c>
      <c r="H26" s="269">
        <f t="shared" si="21"/>
        <v>31.349</v>
      </c>
      <c r="I26" s="269">
        <f t="shared" si="22"/>
        <v>32.338999999999999</v>
      </c>
      <c r="J26" s="269">
        <f t="shared" si="23"/>
        <v>33.366</v>
      </c>
      <c r="K26" s="269">
        <f t="shared" si="24"/>
        <v>34.630000000000003</v>
      </c>
      <c r="L26" s="269"/>
      <c r="M26" s="269"/>
      <c r="N26" s="269"/>
      <c r="O26" s="526" t="s">
        <v>66</v>
      </c>
      <c r="P26" s="538" t="s">
        <v>67</v>
      </c>
      <c r="Q26" s="526" t="s">
        <v>65</v>
      </c>
      <c r="R26" s="436">
        <v>33.089364879999998</v>
      </c>
      <c r="S26" s="436">
        <v>34.079461415999994</v>
      </c>
      <c r="T26" s="436">
        <v>35.105780995999993</v>
      </c>
      <c r="U26" s="436">
        <v>36.370294532000003</v>
      </c>
      <c r="V26" s="436"/>
      <c r="W26" s="436"/>
      <c r="X26" s="436"/>
      <c r="Y26" s="620"/>
      <c r="Z26" s="279" t="str">
        <f t="shared" si="0"/>
        <v>05958C</v>
      </c>
      <c r="AA26" s="279" t="str">
        <f t="shared" si="1"/>
        <v>Lead Custodian Property Services</v>
      </c>
      <c r="AB26" s="286" t="str">
        <f t="shared" si="2"/>
        <v>06B</v>
      </c>
      <c r="AC26" s="284">
        <f t="shared" si="26"/>
        <v>31.349</v>
      </c>
      <c r="AD26" s="284">
        <f t="shared" si="27"/>
        <v>32.338999999999999</v>
      </c>
      <c r="AE26" s="284">
        <f t="shared" si="28"/>
        <v>33.366</v>
      </c>
      <c r="AF26" s="284">
        <f t="shared" si="29"/>
        <v>34.630000000000003</v>
      </c>
      <c r="AJ26" s="276"/>
      <c r="AK26" s="276"/>
    </row>
    <row r="27" spans="1:37">
      <c r="A27" s="211" t="s">
        <v>68</v>
      </c>
      <c r="B27" s="211" t="s">
        <v>325</v>
      </c>
      <c r="C27" s="505">
        <v>205</v>
      </c>
      <c r="D27" s="162">
        <v>4</v>
      </c>
      <c r="E27" s="162">
        <v>11</v>
      </c>
      <c r="F27" s="162" t="s">
        <v>17</v>
      </c>
      <c r="G27" s="162" t="s">
        <v>18</v>
      </c>
      <c r="H27" s="269">
        <f t="shared" si="11"/>
        <v>35.337000000000003</v>
      </c>
      <c r="I27" s="269"/>
      <c r="J27" s="269"/>
      <c r="K27" s="269"/>
      <c r="L27" s="269"/>
      <c r="M27" s="269"/>
      <c r="N27" s="269"/>
      <c r="O27" s="526" t="s">
        <v>68</v>
      </c>
      <c r="P27" s="538" t="s">
        <v>325</v>
      </c>
      <c r="Q27" s="526">
        <v>11</v>
      </c>
      <c r="R27" s="436">
        <v>37.077192724</v>
      </c>
      <c r="S27" s="436"/>
      <c r="T27" s="436"/>
      <c r="U27" s="436"/>
      <c r="V27" s="436"/>
      <c r="W27" s="436"/>
      <c r="X27" s="436"/>
      <c r="Y27" s="620"/>
      <c r="Z27" s="279" t="str">
        <f t="shared" si="0"/>
        <v>06030C</v>
      </c>
      <c r="AA27" s="279" t="str">
        <f t="shared" si="1"/>
        <v>Lead Pipe Layer I (Paving Const.)</v>
      </c>
      <c r="AB27" s="286">
        <f t="shared" si="2"/>
        <v>11</v>
      </c>
      <c r="AC27" s="284">
        <f t="shared" si="7"/>
        <v>35.337000000000003</v>
      </c>
      <c r="AD27" s="284"/>
      <c r="AE27" s="284"/>
      <c r="AF27" s="284"/>
      <c r="AJ27" s="276"/>
      <c r="AK27" s="276"/>
    </row>
    <row r="28" spans="1:37">
      <c r="A28" s="211" t="s">
        <v>71</v>
      </c>
      <c r="B28" s="211" t="s">
        <v>379</v>
      </c>
      <c r="C28" s="505">
        <v>205</v>
      </c>
      <c r="D28" s="162">
        <v>4</v>
      </c>
      <c r="E28" s="162" t="s">
        <v>319</v>
      </c>
      <c r="F28" s="162" t="s">
        <v>17</v>
      </c>
      <c r="G28" s="162" t="s">
        <v>18</v>
      </c>
      <c r="H28" s="269">
        <f t="shared" ref="H28:H29" si="30">AC28</f>
        <v>32.274000000000001</v>
      </c>
      <c r="I28" s="269">
        <f t="shared" ref="I28:I29" si="31">AD28</f>
        <v>33.223999999999997</v>
      </c>
      <c r="J28" s="269">
        <f t="shared" ref="J28:J29" si="32">AE28</f>
        <v>34.203000000000003</v>
      </c>
      <c r="K28" s="269">
        <f t="shared" ref="K28:K29" si="33">AF28</f>
        <v>35.213000000000001</v>
      </c>
      <c r="L28" s="269"/>
      <c r="M28" s="269"/>
      <c r="N28" s="269"/>
      <c r="O28" s="526" t="s">
        <v>71</v>
      </c>
      <c r="P28" s="538" t="s">
        <v>379</v>
      </c>
      <c r="Q28" s="526" t="s">
        <v>319</v>
      </c>
      <c r="R28" s="436">
        <v>34.013601335999994</v>
      </c>
      <c r="S28" s="436">
        <v>34.964181823999994</v>
      </c>
      <c r="T28" s="436">
        <v>35.94330167999999</v>
      </c>
      <c r="U28" s="436">
        <v>36.953156240000006</v>
      </c>
      <c r="V28" s="436"/>
      <c r="W28" s="436"/>
      <c r="X28" s="436"/>
      <c r="Y28" s="620"/>
      <c r="Z28" s="279" t="str">
        <f t="shared" si="0"/>
        <v>06035C</v>
      </c>
      <c r="AA28" s="279" t="str">
        <f t="shared" si="1"/>
        <v>Lead Pipe Layer I (Paving Const.) Apprentice I (1st 522 hours)</v>
      </c>
      <c r="AB28" s="286" t="str">
        <f t="shared" si="2"/>
        <v>32</v>
      </c>
      <c r="AC28" s="284">
        <f t="shared" si="7"/>
        <v>32.274000000000001</v>
      </c>
      <c r="AD28" s="284">
        <f t="shared" ref="AD28:AD29" si="34">ROUND(S28-1.74,3)</f>
        <v>33.223999999999997</v>
      </c>
      <c r="AE28" s="284">
        <f t="shared" ref="AE28:AE29" si="35">ROUND(T28-1.74,3)</f>
        <v>34.203000000000003</v>
      </c>
      <c r="AF28" s="284">
        <f t="shared" ref="AF28:AF29" si="36">ROUND(U28-1.74,3)</f>
        <v>35.213000000000001</v>
      </c>
      <c r="AJ28" s="276"/>
      <c r="AK28" s="276"/>
    </row>
    <row r="29" spans="1:37">
      <c r="A29" s="211" t="s">
        <v>74</v>
      </c>
      <c r="B29" s="211" t="s">
        <v>326</v>
      </c>
      <c r="C29" s="505">
        <v>205</v>
      </c>
      <c r="D29" s="162">
        <v>4</v>
      </c>
      <c r="E29" s="162" t="s">
        <v>321</v>
      </c>
      <c r="F29" s="162" t="s">
        <v>17</v>
      </c>
      <c r="G29" s="162" t="s">
        <v>18</v>
      </c>
      <c r="H29" s="269">
        <f t="shared" si="30"/>
        <v>32.781999999999996</v>
      </c>
      <c r="I29" s="269">
        <f t="shared" si="31"/>
        <v>33.732999999999997</v>
      </c>
      <c r="J29" s="269">
        <f t="shared" si="32"/>
        <v>34.713000000000001</v>
      </c>
      <c r="K29" s="269">
        <f t="shared" si="33"/>
        <v>35.720999999999997</v>
      </c>
      <c r="L29" s="269"/>
      <c r="M29" s="269"/>
      <c r="N29" s="269"/>
      <c r="O29" s="526" t="s">
        <v>74</v>
      </c>
      <c r="P29" s="538" t="s">
        <v>326</v>
      </c>
      <c r="Q29" s="526" t="s">
        <v>321</v>
      </c>
      <c r="R29" s="436">
        <v>34.521821619999997</v>
      </c>
      <c r="S29" s="436">
        <v>35.473499775999997</v>
      </c>
      <c r="T29" s="436">
        <v>36.452619632000001</v>
      </c>
      <c r="U29" s="436">
        <v>37.461376524000002</v>
      </c>
      <c r="V29" s="436"/>
      <c r="W29" s="436"/>
      <c r="X29" s="436"/>
      <c r="Y29" s="620"/>
      <c r="Z29" s="279" t="str">
        <f t="shared" si="0"/>
        <v>06037C</v>
      </c>
      <c r="AA29" s="279" t="str">
        <f t="shared" si="1"/>
        <v>Lead Pipe Layer I (Paving Const.) Apprentice II (2nd 522 hours)</v>
      </c>
      <c r="AB29" s="286" t="str">
        <f t="shared" si="2"/>
        <v>33</v>
      </c>
      <c r="AC29" s="284">
        <f t="shared" si="7"/>
        <v>32.781999999999996</v>
      </c>
      <c r="AD29" s="284">
        <f t="shared" si="34"/>
        <v>33.732999999999997</v>
      </c>
      <c r="AE29" s="284">
        <f t="shared" si="35"/>
        <v>34.713000000000001</v>
      </c>
      <c r="AF29" s="284">
        <f t="shared" si="36"/>
        <v>35.720999999999997</v>
      </c>
      <c r="AJ29" s="276"/>
      <c r="AK29" s="276"/>
    </row>
    <row r="30" spans="1:37">
      <c r="A30" s="211" t="s">
        <v>77</v>
      </c>
      <c r="B30" s="211" t="s">
        <v>327</v>
      </c>
      <c r="C30" s="505">
        <v>205</v>
      </c>
      <c r="D30" s="162">
        <v>4</v>
      </c>
      <c r="E30" s="162" t="s">
        <v>76</v>
      </c>
      <c r="F30" s="162" t="s">
        <v>17</v>
      </c>
      <c r="G30" s="162" t="s">
        <v>18</v>
      </c>
      <c r="H30" s="269">
        <f t="shared" si="11"/>
        <v>35.680999999999997</v>
      </c>
      <c r="I30" s="269"/>
      <c r="J30" s="269"/>
      <c r="K30" s="269"/>
      <c r="L30" s="269"/>
      <c r="M30" s="269"/>
      <c r="N30" s="269"/>
      <c r="O30" s="526" t="s">
        <v>77</v>
      </c>
      <c r="P30" s="538" t="s">
        <v>327</v>
      </c>
      <c r="Q30" s="526" t="s">
        <v>76</v>
      </c>
      <c r="R30" s="436">
        <v>37.420762807999999</v>
      </c>
      <c r="S30" s="436"/>
      <c r="T30" s="436"/>
      <c r="U30" s="436"/>
      <c r="V30" s="436"/>
      <c r="W30" s="436"/>
      <c r="X30" s="436"/>
      <c r="Y30" s="620"/>
      <c r="Z30" s="279" t="str">
        <f t="shared" si="0"/>
        <v>06050C</v>
      </c>
      <c r="AA30" s="279" t="str">
        <f t="shared" si="1"/>
        <v>Lead Pipe Layer II (Water Const.)</v>
      </c>
      <c r="AB30" s="286" t="str">
        <f t="shared" si="2"/>
        <v>14</v>
      </c>
      <c r="AC30" s="284">
        <f t="shared" si="7"/>
        <v>35.680999999999997</v>
      </c>
      <c r="AJ30" s="276"/>
      <c r="AK30" s="276"/>
    </row>
    <row r="31" spans="1:37">
      <c r="A31" s="211" t="s">
        <v>80</v>
      </c>
      <c r="B31" s="211" t="s">
        <v>328</v>
      </c>
      <c r="C31" s="505">
        <v>205</v>
      </c>
      <c r="D31" s="162">
        <v>4</v>
      </c>
      <c r="E31" s="162" t="s">
        <v>319</v>
      </c>
      <c r="F31" s="162" t="s">
        <v>17</v>
      </c>
      <c r="G31" s="162" t="s">
        <v>18</v>
      </c>
      <c r="H31" s="269">
        <f t="shared" ref="H31:H33" si="37">AC31</f>
        <v>32.274000000000001</v>
      </c>
      <c r="I31" s="269">
        <f t="shared" ref="I31:I33" si="38">AD31</f>
        <v>33.223999999999997</v>
      </c>
      <c r="J31" s="269">
        <f t="shared" ref="J31:J33" si="39">AE31</f>
        <v>34.203000000000003</v>
      </c>
      <c r="K31" s="269">
        <f t="shared" ref="K31:K33" si="40">AF31</f>
        <v>35.213000000000001</v>
      </c>
      <c r="L31" s="269"/>
      <c r="M31" s="269"/>
      <c r="N31" s="269"/>
      <c r="O31" s="526" t="s">
        <v>80</v>
      </c>
      <c r="P31" s="538" t="s">
        <v>328</v>
      </c>
      <c r="Q31" s="526" t="s">
        <v>319</v>
      </c>
      <c r="R31" s="436">
        <v>34.013601335999994</v>
      </c>
      <c r="S31" s="436">
        <v>34.964181823999994</v>
      </c>
      <c r="T31" s="436">
        <v>35.94330167999999</v>
      </c>
      <c r="U31" s="436">
        <v>36.953156240000006</v>
      </c>
      <c r="V31" s="436"/>
      <c r="W31" s="436"/>
      <c r="X31" s="436"/>
      <c r="Y31" s="620"/>
      <c r="Z31" s="279" t="str">
        <f t="shared" si="0"/>
        <v>06056C</v>
      </c>
      <c r="AA31" s="279" t="str">
        <f t="shared" si="1"/>
        <v>Lead Pipe Layer II (Water Const.) Apprentice I (1st 522 hours)</v>
      </c>
      <c r="AB31" s="286" t="str">
        <f t="shared" si="2"/>
        <v>32</v>
      </c>
      <c r="AC31" s="284">
        <f t="shared" si="7"/>
        <v>32.274000000000001</v>
      </c>
      <c r="AD31" s="284">
        <f t="shared" ref="AD31:AD33" si="41">ROUND(S31-1.74,3)</f>
        <v>33.223999999999997</v>
      </c>
      <c r="AE31" s="284">
        <f t="shared" ref="AE31:AE33" si="42">ROUND(T31-1.74,3)</f>
        <v>34.203000000000003</v>
      </c>
      <c r="AF31" s="284">
        <f t="shared" ref="AF31:AF33" si="43">ROUND(U31-1.74,3)</f>
        <v>35.213000000000001</v>
      </c>
      <c r="AJ31" s="276"/>
      <c r="AK31" s="276"/>
    </row>
    <row r="32" spans="1:37">
      <c r="A32" s="211" t="s">
        <v>83</v>
      </c>
      <c r="B32" s="211" t="s">
        <v>329</v>
      </c>
      <c r="C32" s="505">
        <v>205</v>
      </c>
      <c r="D32" s="162">
        <v>4</v>
      </c>
      <c r="E32" s="162" t="s">
        <v>321</v>
      </c>
      <c r="F32" s="162" t="s">
        <v>17</v>
      </c>
      <c r="G32" s="162" t="s">
        <v>18</v>
      </c>
      <c r="H32" s="269">
        <f t="shared" si="37"/>
        <v>32.781999999999996</v>
      </c>
      <c r="I32" s="269">
        <f t="shared" si="38"/>
        <v>33.732999999999997</v>
      </c>
      <c r="J32" s="269">
        <f t="shared" si="39"/>
        <v>34.713000000000001</v>
      </c>
      <c r="K32" s="269">
        <f t="shared" si="40"/>
        <v>35.720999999999997</v>
      </c>
      <c r="L32" s="269"/>
      <c r="M32" s="269"/>
      <c r="N32" s="269"/>
      <c r="O32" s="526" t="s">
        <v>83</v>
      </c>
      <c r="P32" s="538" t="s">
        <v>329</v>
      </c>
      <c r="Q32" s="526" t="s">
        <v>321</v>
      </c>
      <c r="R32" s="436">
        <v>34.521821619999997</v>
      </c>
      <c r="S32" s="436">
        <v>35.473499775999997</v>
      </c>
      <c r="T32" s="436">
        <v>36.452619632000001</v>
      </c>
      <c r="U32" s="436">
        <v>37.461376524000002</v>
      </c>
      <c r="V32" s="436"/>
      <c r="W32" s="436"/>
      <c r="X32" s="436"/>
      <c r="Y32" s="620"/>
      <c r="Z32" s="279" t="str">
        <f t="shared" si="0"/>
        <v>06057C</v>
      </c>
      <c r="AA32" s="279" t="str">
        <f t="shared" si="1"/>
        <v>Lead Pipe Layer II (Water Const.) Apprentice II (2nd 522 hours)</v>
      </c>
      <c r="AB32" s="286" t="str">
        <f t="shared" si="2"/>
        <v>33</v>
      </c>
      <c r="AC32" s="284">
        <f t="shared" si="7"/>
        <v>32.781999999999996</v>
      </c>
      <c r="AD32" s="284">
        <f t="shared" si="41"/>
        <v>33.732999999999997</v>
      </c>
      <c r="AE32" s="284">
        <f t="shared" si="42"/>
        <v>34.713000000000001</v>
      </c>
      <c r="AF32" s="284">
        <f t="shared" si="43"/>
        <v>35.720999999999997</v>
      </c>
      <c r="AJ32" s="276"/>
      <c r="AK32" s="276"/>
    </row>
    <row r="33" spans="1:37">
      <c r="A33" s="211" t="s">
        <v>86</v>
      </c>
      <c r="B33" s="211" t="s">
        <v>331</v>
      </c>
      <c r="C33" s="505">
        <v>205</v>
      </c>
      <c r="D33" s="162">
        <v>4</v>
      </c>
      <c r="E33" s="162" t="s">
        <v>330</v>
      </c>
      <c r="F33" s="162" t="s">
        <v>17</v>
      </c>
      <c r="G33" s="162" t="s">
        <v>18</v>
      </c>
      <c r="H33" s="269">
        <f t="shared" si="37"/>
        <v>33.072000000000003</v>
      </c>
      <c r="I33" s="269">
        <f t="shared" si="38"/>
        <v>34.023000000000003</v>
      </c>
      <c r="J33" s="269">
        <f t="shared" si="39"/>
        <v>35.002000000000002</v>
      </c>
      <c r="K33" s="269">
        <f t="shared" si="40"/>
        <v>36.012</v>
      </c>
      <c r="L33" s="269"/>
      <c r="M33" s="269"/>
      <c r="N33" s="269"/>
      <c r="O33" s="526" t="s">
        <v>86</v>
      </c>
      <c r="P33" s="538" t="s">
        <v>331</v>
      </c>
      <c r="Q33" s="526" t="s">
        <v>330</v>
      </c>
      <c r="R33" s="436">
        <v>34.811605972000002</v>
      </c>
      <c r="S33" s="436">
        <v>35.763284127999995</v>
      </c>
      <c r="T33" s="436">
        <v>36.742403983999992</v>
      </c>
      <c r="U33" s="436">
        <v>37.752258544</v>
      </c>
      <c r="V33" s="436"/>
      <c r="W33" s="436"/>
      <c r="X33" s="436"/>
      <c r="Y33" s="620"/>
      <c r="Z33" s="279" t="str">
        <f t="shared" si="0"/>
        <v>06058C</v>
      </c>
      <c r="AA33" s="279" t="str">
        <f t="shared" si="1"/>
        <v>Lead Pipe Layer II (Water Const.) Apprentice III (3rd 522 hours)</v>
      </c>
      <c r="AB33" s="286" t="str">
        <f t="shared" si="2"/>
        <v>34</v>
      </c>
      <c r="AC33" s="284">
        <f t="shared" si="7"/>
        <v>33.072000000000003</v>
      </c>
      <c r="AD33" s="284">
        <f t="shared" si="41"/>
        <v>34.023000000000003</v>
      </c>
      <c r="AE33" s="284">
        <f t="shared" si="42"/>
        <v>35.002000000000002</v>
      </c>
      <c r="AF33" s="284">
        <f t="shared" si="43"/>
        <v>36.012</v>
      </c>
      <c r="AJ33" s="276"/>
      <c r="AK33" s="276"/>
    </row>
    <row r="34" spans="1:37">
      <c r="A34" s="211" t="s">
        <v>90</v>
      </c>
      <c r="B34" s="211" t="s">
        <v>333</v>
      </c>
      <c r="C34" s="505">
        <v>205</v>
      </c>
      <c r="D34" s="162">
        <v>4</v>
      </c>
      <c r="E34" s="162" t="s">
        <v>332</v>
      </c>
      <c r="F34" s="162" t="s">
        <v>17</v>
      </c>
      <c r="G34" s="162" t="s">
        <v>18</v>
      </c>
      <c r="H34" s="269">
        <f t="shared" si="11"/>
        <v>37.398000000000003</v>
      </c>
      <c r="I34" s="269"/>
      <c r="J34" s="269"/>
      <c r="K34" s="269"/>
      <c r="L34" s="269"/>
      <c r="M34" s="269"/>
      <c r="N34" s="269"/>
      <c r="O34" s="526" t="s">
        <v>90</v>
      </c>
      <c r="P34" s="538" t="s">
        <v>333</v>
      </c>
      <c r="Q34" s="526" t="s">
        <v>332</v>
      </c>
      <c r="R34" s="436">
        <v>39.137515560000004</v>
      </c>
      <c r="S34" s="436"/>
      <c r="T34" s="436"/>
      <c r="U34" s="436"/>
      <c r="V34" s="436"/>
      <c r="W34" s="436"/>
      <c r="X34" s="436"/>
      <c r="Y34" s="620"/>
      <c r="Z34" s="279" t="str">
        <f t="shared" si="0"/>
        <v>06066C</v>
      </c>
      <c r="AA34" s="279" t="str">
        <f t="shared" si="1"/>
        <v>Lead Pipe Layer III (Sewer Const.)</v>
      </c>
      <c r="AB34" s="286" t="str">
        <f t="shared" si="2"/>
        <v>31</v>
      </c>
      <c r="AC34" s="284">
        <f t="shared" si="7"/>
        <v>37.398000000000003</v>
      </c>
      <c r="AJ34" s="276"/>
      <c r="AK34" s="276"/>
    </row>
    <row r="35" spans="1:37">
      <c r="A35" s="211" t="s">
        <v>93</v>
      </c>
      <c r="B35" s="211" t="s">
        <v>334</v>
      </c>
      <c r="C35" s="505">
        <v>205</v>
      </c>
      <c r="D35" s="162">
        <v>4</v>
      </c>
      <c r="E35" s="162" t="s">
        <v>319</v>
      </c>
      <c r="F35" s="162" t="s">
        <v>17</v>
      </c>
      <c r="G35" s="162" t="s">
        <v>18</v>
      </c>
      <c r="H35" s="269">
        <f t="shared" ref="H35:H37" si="44">AC35</f>
        <v>32.274000000000001</v>
      </c>
      <c r="I35" s="269">
        <f t="shared" ref="I35:I37" si="45">AD35</f>
        <v>33.223999999999997</v>
      </c>
      <c r="J35" s="269">
        <f t="shared" ref="J35:J37" si="46">AE35</f>
        <v>34.203000000000003</v>
      </c>
      <c r="K35" s="269">
        <f t="shared" ref="K35:K37" si="47">AF35</f>
        <v>35.213000000000001</v>
      </c>
      <c r="L35" s="269"/>
      <c r="M35" s="269"/>
      <c r="N35" s="269"/>
      <c r="O35" s="526" t="s">
        <v>93</v>
      </c>
      <c r="P35" s="538" t="s">
        <v>334</v>
      </c>
      <c r="Q35" s="526" t="s">
        <v>319</v>
      </c>
      <c r="R35" s="436">
        <v>34.013601335999994</v>
      </c>
      <c r="S35" s="436">
        <v>34.964181823999994</v>
      </c>
      <c r="T35" s="436">
        <v>35.94330167999999</v>
      </c>
      <c r="U35" s="436">
        <v>36.953156240000006</v>
      </c>
      <c r="V35" s="436"/>
      <c r="W35" s="436"/>
      <c r="X35" s="436"/>
      <c r="Y35" s="620"/>
      <c r="Z35" s="279" t="str">
        <f t="shared" si="0"/>
        <v>06067C</v>
      </c>
      <c r="AA35" s="279" t="str">
        <f t="shared" si="1"/>
        <v>Lead Pipe Layer III (Sewer Const.) Apprentice I (1st 522 hours)</v>
      </c>
      <c r="AB35" s="286" t="str">
        <f t="shared" si="2"/>
        <v>32</v>
      </c>
      <c r="AC35" s="284">
        <f t="shared" si="7"/>
        <v>32.274000000000001</v>
      </c>
      <c r="AD35" s="284">
        <f t="shared" ref="AD35:AD37" si="48">ROUND(S35-1.74,3)</f>
        <v>33.223999999999997</v>
      </c>
      <c r="AE35" s="284">
        <f t="shared" ref="AE35:AE37" si="49">ROUND(T35-1.74,3)</f>
        <v>34.203000000000003</v>
      </c>
      <c r="AF35" s="284">
        <f t="shared" ref="AF35:AF37" si="50">ROUND(U35-1.74,3)</f>
        <v>35.213000000000001</v>
      </c>
      <c r="AJ35" s="276"/>
      <c r="AK35" s="276"/>
    </row>
    <row r="36" spans="1:37">
      <c r="A36" s="211" t="s">
        <v>96</v>
      </c>
      <c r="B36" s="211" t="s">
        <v>335</v>
      </c>
      <c r="C36" s="505">
        <v>205</v>
      </c>
      <c r="D36" s="162">
        <v>4</v>
      </c>
      <c r="E36" s="162" t="s">
        <v>321</v>
      </c>
      <c r="F36" s="162" t="s">
        <v>17</v>
      </c>
      <c r="G36" s="162" t="s">
        <v>18</v>
      </c>
      <c r="H36" s="269">
        <f t="shared" si="44"/>
        <v>32.781999999999996</v>
      </c>
      <c r="I36" s="269">
        <f t="shared" si="45"/>
        <v>33.732999999999997</v>
      </c>
      <c r="J36" s="269">
        <f t="shared" si="46"/>
        <v>34.713000000000001</v>
      </c>
      <c r="K36" s="269">
        <f t="shared" si="47"/>
        <v>35.720999999999997</v>
      </c>
      <c r="L36" s="269"/>
      <c r="M36" s="269"/>
      <c r="N36" s="269"/>
      <c r="O36" s="526" t="s">
        <v>96</v>
      </c>
      <c r="P36" s="538" t="s">
        <v>335</v>
      </c>
      <c r="Q36" s="526" t="s">
        <v>321</v>
      </c>
      <c r="R36" s="436">
        <v>34.521821619999997</v>
      </c>
      <c r="S36" s="436">
        <v>35.473499775999997</v>
      </c>
      <c r="T36" s="436">
        <v>36.452619632000001</v>
      </c>
      <c r="U36" s="436">
        <v>37.461376524000002</v>
      </c>
      <c r="V36" s="436"/>
      <c r="W36" s="436"/>
      <c r="X36" s="436"/>
      <c r="Y36" s="620"/>
      <c r="Z36" s="279" t="str">
        <f t="shared" si="0"/>
        <v>06068C</v>
      </c>
      <c r="AA36" s="279" t="str">
        <f t="shared" si="1"/>
        <v>Lead Pipe Layer III (Sewer Const.) Apprentice II (2nd 522 hours)</v>
      </c>
      <c r="AB36" s="286" t="str">
        <f t="shared" si="2"/>
        <v>33</v>
      </c>
      <c r="AC36" s="284">
        <f t="shared" si="7"/>
        <v>32.781999999999996</v>
      </c>
      <c r="AD36" s="284">
        <f t="shared" si="48"/>
        <v>33.732999999999997</v>
      </c>
      <c r="AE36" s="284">
        <f t="shared" si="49"/>
        <v>34.713000000000001</v>
      </c>
      <c r="AF36" s="284">
        <f t="shared" si="50"/>
        <v>35.720999999999997</v>
      </c>
      <c r="AJ36" s="276"/>
      <c r="AK36" s="276"/>
    </row>
    <row r="37" spans="1:37">
      <c r="A37" s="211" t="s">
        <v>99</v>
      </c>
      <c r="B37" s="211" t="s">
        <v>336</v>
      </c>
      <c r="C37" s="505">
        <v>205</v>
      </c>
      <c r="D37" s="162">
        <v>4</v>
      </c>
      <c r="E37" s="162" t="s">
        <v>330</v>
      </c>
      <c r="F37" s="162" t="s">
        <v>17</v>
      </c>
      <c r="G37" s="162" t="s">
        <v>18</v>
      </c>
      <c r="H37" s="269">
        <f t="shared" si="44"/>
        <v>33.072000000000003</v>
      </c>
      <c r="I37" s="269">
        <f t="shared" si="45"/>
        <v>34.023000000000003</v>
      </c>
      <c r="J37" s="269">
        <f t="shared" si="46"/>
        <v>35.002000000000002</v>
      </c>
      <c r="K37" s="269">
        <f t="shared" si="47"/>
        <v>36.012</v>
      </c>
      <c r="L37" s="269"/>
      <c r="M37" s="269"/>
      <c r="N37" s="269"/>
      <c r="O37" s="526" t="s">
        <v>99</v>
      </c>
      <c r="P37" s="538" t="s">
        <v>336</v>
      </c>
      <c r="Q37" s="526" t="s">
        <v>330</v>
      </c>
      <c r="R37" s="436">
        <v>34.811605972000002</v>
      </c>
      <c r="S37" s="436">
        <v>35.763284127999995</v>
      </c>
      <c r="T37" s="436">
        <v>36.742403983999992</v>
      </c>
      <c r="U37" s="436">
        <v>37.752258544</v>
      </c>
      <c r="V37" s="436"/>
      <c r="W37" s="436"/>
      <c r="X37" s="436"/>
      <c r="Y37" s="620"/>
      <c r="Z37" s="279" t="str">
        <f t="shared" si="0"/>
        <v>06069C</v>
      </c>
      <c r="AA37" s="279" t="str">
        <f t="shared" si="1"/>
        <v>Lead Pipe Layer III (Sewer Const.) Apprentice III (3rd 522 hours)</v>
      </c>
      <c r="AB37" s="286" t="str">
        <f t="shared" si="2"/>
        <v>34</v>
      </c>
      <c r="AC37" s="284">
        <f t="shared" si="7"/>
        <v>33.072000000000003</v>
      </c>
      <c r="AD37" s="284">
        <f t="shared" si="48"/>
        <v>34.023000000000003</v>
      </c>
      <c r="AE37" s="284">
        <f t="shared" si="49"/>
        <v>35.002000000000002</v>
      </c>
      <c r="AF37" s="284">
        <f t="shared" si="50"/>
        <v>36.012</v>
      </c>
      <c r="AJ37" s="276"/>
      <c r="AK37" s="276"/>
    </row>
    <row r="38" spans="1:37">
      <c r="A38" s="211" t="s">
        <v>101</v>
      </c>
      <c r="B38" s="211" t="s">
        <v>102</v>
      </c>
      <c r="C38" s="505">
        <v>273</v>
      </c>
      <c r="D38" s="162">
        <v>6</v>
      </c>
      <c r="E38" s="162" t="s">
        <v>332</v>
      </c>
      <c r="F38" s="162" t="s">
        <v>17</v>
      </c>
      <c r="G38" s="162" t="s">
        <v>18</v>
      </c>
      <c r="H38" s="269">
        <f t="shared" si="11"/>
        <v>37.398000000000003</v>
      </c>
      <c r="I38" s="269"/>
      <c r="J38" s="269"/>
      <c r="K38" s="269"/>
      <c r="L38" s="269"/>
      <c r="M38" s="269"/>
      <c r="N38" s="269"/>
      <c r="O38" s="526" t="s">
        <v>101</v>
      </c>
      <c r="P38" s="538" t="s">
        <v>102</v>
      </c>
      <c r="Q38" s="526" t="s">
        <v>332</v>
      </c>
      <c r="R38" s="436">
        <v>39.137515560000004</v>
      </c>
      <c r="S38" s="436"/>
      <c r="T38" s="436"/>
      <c r="U38" s="436"/>
      <c r="V38" s="436"/>
      <c r="W38" s="436"/>
      <c r="X38" s="436"/>
      <c r="Y38" s="620"/>
      <c r="Z38" s="279" t="str">
        <f t="shared" si="0"/>
        <v>06462C</v>
      </c>
      <c r="AA38" s="279" t="str">
        <f t="shared" si="1"/>
        <v>Maintenance Crew Ldr - Bridge</v>
      </c>
      <c r="AB38" s="286" t="str">
        <f t="shared" si="2"/>
        <v>31</v>
      </c>
      <c r="AC38" s="284">
        <f t="shared" si="7"/>
        <v>37.398000000000003</v>
      </c>
      <c r="AJ38" s="276"/>
      <c r="AK38" s="276"/>
    </row>
    <row r="39" spans="1:37">
      <c r="A39" s="211" t="s">
        <v>103</v>
      </c>
      <c r="B39" s="211" t="s">
        <v>104</v>
      </c>
      <c r="C39" s="505">
        <v>273</v>
      </c>
      <c r="D39" s="162">
        <v>6</v>
      </c>
      <c r="E39" s="162" t="s">
        <v>332</v>
      </c>
      <c r="F39" s="162" t="s">
        <v>17</v>
      </c>
      <c r="G39" s="162" t="s">
        <v>18</v>
      </c>
      <c r="H39" s="269">
        <f t="shared" si="11"/>
        <v>37.398000000000003</v>
      </c>
      <c r="I39" s="269"/>
      <c r="J39" s="269"/>
      <c r="K39" s="269"/>
      <c r="L39" s="269"/>
      <c r="M39" s="269"/>
      <c r="N39" s="269"/>
      <c r="O39" s="526" t="s">
        <v>103</v>
      </c>
      <c r="P39" s="538" t="s">
        <v>104</v>
      </c>
      <c r="Q39" s="526" t="s">
        <v>332</v>
      </c>
      <c r="R39" s="436">
        <v>39.137515560000004</v>
      </c>
      <c r="S39" s="436"/>
      <c r="T39" s="436"/>
      <c r="U39" s="436"/>
      <c r="V39" s="436"/>
      <c r="W39" s="436"/>
      <c r="X39" s="436"/>
      <c r="Y39" s="620"/>
      <c r="Z39" s="279" t="str">
        <f t="shared" si="0"/>
        <v>06464C</v>
      </c>
      <c r="AA39" s="279" t="str">
        <f t="shared" si="1"/>
        <v>Maintenance Crew Ldr - Sewer</v>
      </c>
      <c r="AB39" s="286" t="str">
        <f t="shared" si="2"/>
        <v>31</v>
      </c>
      <c r="AC39" s="284">
        <f t="shared" si="7"/>
        <v>37.398000000000003</v>
      </c>
      <c r="AJ39" s="276"/>
      <c r="AK39" s="276"/>
    </row>
    <row r="40" spans="1:37">
      <c r="A40" s="211" t="s">
        <v>105</v>
      </c>
      <c r="B40" s="211" t="s">
        <v>106</v>
      </c>
      <c r="C40" s="505">
        <v>273</v>
      </c>
      <c r="D40" s="162">
        <v>6</v>
      </c>
      <c r="E40" s="162" t="s">
        <v>332</v>
      </c>
      <c r="F40" s="162" t="s">
        <v>17</v>
      </c>
      <c r="G40" s="162" t="s">
        <v>18</v>
      </c>
      <c r="H40" s="269">
        <f t="shared" si="11"/>
        <v>37.398000000000003</v>
      </c>
      <c r="I40" s="269"/>
      <c r="J40" s="269"/>
      <c r="K40" s="269"/>
      <c r="L40" s="269"/>
      <c r="M40" s="269"/>
      <c r="N40" s="269"/>
      <c r="O40" s="526" t="s">
        <v>105</v>
      </c>
      <c r="P40" s="538" t="s">
        <v>106</v>
      </c>
      <c r="Q40" s="526" t="s">
        <v>332</v>
      </c>
      <c r="R40" s="436">
        <v>39.137515560000004</v>
      </c>
      <c r="S40" s="436"/>
      <c r="T40" s="436"/>
      <c r="U40" s="436"/>
      <c r="V40" s="436"/>
      <c r="W40" s="436"/>
      <c r="X40" s="436"/>
      <c r="Y40" s="620"/>
      <c r="Z40" s="279" t="str">
        <f t="shared" si="0"/>
        <v>06465C</v>
      </c>
      <c r="AA40" s="279" t="str">
        <f t="shared" si="1"/>
        <v>Maintenance Crew Ldr - Sol Waste</v>
      </c>
      <c r="AB40" s="286" t="str">
        <f t="shared" si="2"/>
        <v>31</v>
      </c>
      <c r="AC40" s="284">
        <f t="shared" si="7"/>
        <v>37.398000000000003</v>
      </c>
      <c r="AJ40" s="276"/>
      <c r="AK40" s="276"/>
    </row>
    <row r="41" spans="1:37">
      <c r="A41" s="211" t="s">
        <v>107</v>
      </c>
      <c r="B41" s="211" t="s">
        <v>108</v>
      </c>
      <c r="C41" s="505">
        <v>273</v>
      </c>
      <c r="D41" s="162">
        <v>6</v>
      </c>
      <c r="E41" s="162" t="s">
        <v>332</v>
      </c>
      <c r="F41" s="162" t="s">
        <v>17</v>
      </c>
      <c r="G41" s="162" t="s">
        <v>18</v>
      </c>
      <c r="H41" s="269">
        <f t="shared" si="11"/>
        <v>37.398000000000003</v>
      </c>
      <c r="I41" s="269"/>
      <c r="J41" s="269"/>
      <c r="K41" s="269"/>
      <c r="L41" s="269"/>
      <c r="M41" s="269"/>
      <c r="N41" s="269"/>
      <c r="O41" s="526" t="s">
        <v>107</v>
      </c>
      <c r="P41" s="538" t="s">
        <v>108</v>
      </c>
      <c r="Q41" s="526" t="s">
        <v>332</v>
      </c>
      <c r="R41" s="436">
        <v>39.137515560000004</v>
      </c>
      <c r="S41" s="436"/>
      <c r="T41" s="436"/>
      <c r="U41" s="436"/>
      <c r="V41" s="436"/>
      <c r="W41" s="436"/>
      <c r="X41" s="436"/>
      <c r="Y41" s="620"/>
      <c r="Z41" s="279" t="str">
        <f t="shared" si="0"/>
        <v>06466C</v>
      </c>
      <c r="AA41" s="279" t="str">
        <f t="shared" si="1"/>
        <v>Maintenance Crew Ldr - Streets</v>
      </c>
      <c r="AB41" s="286" t="str">
        <f t="shared" si="2"/>
        <v>31</v>
      </c>
      <c r="AC41" s="284">
        <f t="shared" si="7"/>
        <v>37.398000000000003</v>
      </c>
      <c r="AJ41" s="276"/>
      <c r="AK41" s="276"/>
    </row>
    <row r="42" spans="1:37">
      <c r="A42" s="211" t="s">
        <v>109</v>
      </c>
      <c r="B42" s="211" t="s">
        <v>110</v>
      </c>
      <c r="C42" s="505">
        <v>273</v>
      </c>
      <c r="D42" s="162">
        <v>6</v>
      </c>
      <c r="E42" s="162" t="s">
        <v>332</v>
      </c>
      <c r="F42" s="162" t="s">
        <v>17</v>
      </c>
      <c r="G42" s="162" t="s">
        <v>18</v>
      </c>
      <c r="H42" s="269">
        <f t="shared" si="11"/>
        <v>37.398000000000003</v>
      </c>
      <c r="I42" s="269"/>
      <c r="J42" s="269"/>
      <c r="K42" s="269"/>
      <c r="L42" s="269"/>
      <c r="M42" s="269"/>
      <c r="N42" s="269"/>
      <c r="O42" s="526" t="s">
        <v>109</v>
      </c>
      <c r="P42" s="538" t="s">
        <v>110</v>
      </c>
      <c r="Q42" s="526" t="s">
        <v>332</v>
      </c>
      <c r="R42" s="436">
        <v>39.137515560000004</v>
      </c>
      <c r="S42" s="436"/>
      <c r="T42" s="436"/>
      <c r="U42" s="436"/>
      <c r="V42" s="436"/>
      <c r="W42" s="436"/>
      <c r="X42" s="436"/>
      <c r="Y42" s="620"/>
      <c r="Z42" s="279" t="str">
        <f t="shared" si="0"/>
        <v>06468C</v>
      </c>
      <c r="AA42" s="279" t="str">
        <f t="shared" si="1"/>
        <v>Maintenance Crew Ldr - Traffic</v>
      </c>
      <c r="AB42" s="286" t="str">
        <f t="shared" si="2"/>
        <v>31</v>
      </c>
      <c r="AC42" s="284">
        <f t="shared" si="7"/>
        <v>37.398000000000003</v>
      </c>
      <c r="AJ42" s="276"/>
      <c r="AK42" s="276"/>
    </row>
    <row r="43" spans="1:37">
      <c r="A43" s="211" t="s">
        <v>112</v>
      </c>
      <c r="B43" s="211" t="s">
        <v>510</v>
      </c>
      <c r="C43" s="505">
        <v>253</v>
      </c>
      <c r="D43" s="162">
        <v>5</v>
      </c>
      <c r="E43" s="162" t="s">
        <v>509</v>
      </c>
      <c r="F43" s="162" t="s">
        <v>17</v>
      </c>
      <c r="G43" s="162" t="s">
        <v>18</v>
      </c>
      <c r="H43" s="269">
        <f t="shared" si="11"/>
        <v>36.593000000000004</v>
      </c>
      <c r="I43" s="269"/>
      <c r="J43" s="269"/>
      <c r="K43" s="269"/>
      <c r="L43" s="269"/>
      <c r="M43" s="269"/>
      <c r="N43" s="269"/>
      <c r="O43" s="526" t="s">
        <v>112</v>
      </c>
      <c r="P43" s="538" t="s">
        <v>510</v>
      </c>
      <c r="Q43" s="526" t="s">
        <v>509</v>
      </c>
      <c r="R43" s="436">
        <v>38.332924915999996</v>
      </c>
      <c r="S43" s="436"/>
      <c r="T43" s="436"/>
      <c r="U43" s="436"/>
      <c r="V43" s="436"/>
      <c r="W43" s="436"/>
      <c r="X43" s="436"/>
      <c r="Y43" s="620"/>
      <c r="Z43" s="279" t="str">
        <f t="shared" si="0"/>
        <v>07440C</v>
      </c>
      <c r="AA43" s="279" t="str">
        <f t="shared" si="1"/>
        <v>Parking Meter Technician</v>
      </c>
      <c r="AB43" s="286" t="str">
        <f t="shared" si="2"/>
        <v>39</v>
      </c>
      <c r="AC43" s="284">
        <f t="shared" si="7"/>
        <v>36.593000000000004</v>
      </c>
      <c r="AJ43" s="276"/>
      <c r="AK43" s="276"/>
    </row>
    <row r="44" spans="1:37">
      <c r="A44" s="211" t="s">
        <v>115</v>
      </c>
      <c r="B44" s="211" t="s">
        <v>116</v>
      </c>
      <c r="C44" s="505">
        <v>215</v>
      </c>
      <c r="D44" s="162">
        <v>4</v>
      </c>
      <c r="E44" s="162" t="s">
        <v>114</v>
      </c>
      <c r="F44" s="162" t="s">
        <v>17</v>
      </c>
      <c r="G44" s="162" t="s">
        <v>18</v>
      </c>
      <c r="H44" s="269">
        <f t="shared" si="11"/>
        <v>32.829000000000001</v>
      </c>
      <c r="I44" s="269"/>
      <c r="J44" s="269"/>
      <c r="K44" s="269"/>
      <c r="L44" s="269"/>
      <c r="M44" s="269"/>
      <c r="N44" s="269"/>
      <c r="O44" s="526" t="s">
        <v>115</v>
      </c>
      <c r="P44" s="538" t="s">
        <v>116</v>
      </c>
      <c r="Q44" s="526" t="s">
        <v>114</v>
      </c>
      <c r="R44" s="436">
        <v>34.569021343999999</v>
      </c>
      <c r="S44" s="436"/>
      <c r="T44" s="436"/>
      <c r="U44" s="436"/>
      <c r="V44" s="436"/>
      <c r="W44" s="436"/>
      <c r="X44" s="436"/>
      <c r="Y44" s="620"/>
      <c r="Z44" s="279" t="str">
        <f t="shared" si="0"/>
        <v>07940C</v>
      </c>
      <c r="AA44" s="279" t="str">
        <f t="shared" si="1"/>
        <v>Plant Service Worker</v>
      </c>
      <c r="AB44" s="286" t="str">
        <f t="shared" si="2"/>
        <v>07</v>
      </c>
      <c r="AC44" s="284">
        <f t="shared" si="7"/>
        <v>32.829000000000001</v>
      </c>
      <c r="AJ44" s="276"/>
      <c r="AK44" s="276"/>
    </row>
    <row r="45" spans="1:37">
      <c r="A45" s="211" t="s">
        <v>119</v>
      </c>
      <c r="B45" s="211" t="s">
        <v>120</v>
      </c>
      <c r="C45" s="505">
        <v>335</v>
      </c>
      <c r="D45" s="162">
        <v>7</v>
      </c>
      <c r="E45" s="162" t="s">
        <v>118</v>
      </c>
      <c r="F45" s="162" t="s">
        <v>17</v>
      </c>
      <c r="G45" s="162" t="s">
        <v>18</v>
      </c>
      <c r="H45" s="269">
        <f t="shared" ref="H45:H46" si="51">AC45</f>
        <v>33.040999999999997</v>
      </c>
      <c r="I45" s="269">
        <f t="shared" ref="I45:I46" si="52">AD45</f>
        <v>34.64</v>
      </c>
      <c r="J45" s="269">
        <f t="shared" ref="J45:J46" si="53">AE45</f>
        <v>36.243000000000002</v>
      </c>
      <c r="K45" s="269">
        <f t="shared" ref="K45:K46" si="54">AF45</f>
        <v>37.838999999999999</v>
      </c>
      <c r="L45" s="269">
        <f t="shared" ref="L45" si="55">AG45</f>
        <v>39.44</v>
      </c>
      <c r="M45" s="269">
        <f t="shared" ref="M45" si="56">AH45</f>
        <v>41.045000000000002</v>
      </c>
      <c r="N45" s="269"/>
      <c r="O45" s="526" t="s">
        <v>119</v>
      </c>
      <c r="P45" s="538" t="s">
        <v>120</v>
      </c>
      <c r="Q45" s="526" t="s">
        <v>118</v>
      </c>
      <c r="R45" s="436">
        <v>34.780871267999999</v>
      </c>
      <c r="S45" s="436">
        <v>36.380173544000002</v>
      </c>
      <c r="T45" s="436">
        <v>37.982768824000004</v>
      </c>
      <c r="U45" s="436">
        <v>39.578778096000001</v>
      </c>
      <c r="V45" s="436">
        <v>41.180275707999996</v>
      </c>
      <c r="W45" s="436">
        <v>42.785066323999999</v>
      </c>
      <c r="X45" s="436"/>
      <c r="Y45" s="620"/>
      <c r="Z45" s="279" t="str">
        <f t="shared" si="0"/>
        <v>02621C</v>
      </c>
      <c r="AA45" s="279" t="str">
        <f t="shared" si="1"/>
        <v>Pubic Works Equipment Dispatcher</v>
      </c>
      <c r="AB45" s="286" t="str">
        <f t="shared" si="2"/>
        <v>28</v>
      </c>
      <c r="AC45" s="284">
        <f t="shared" si="7"/>
        <v>33.040999999999997</v>
      </c>
      <c r="AD45" s="284">
        <f t="shared" ref="AD45" si="57">ROUND(S45-1.74,3)</f>
        <v>34.64</v>
      </c>
      <c r="AE45" s="284">
        <f t="shared" ref="AE45" si="58">ROUND(T45-1.74,3)</f>
        <v>36.243000000000002</v>
      </c>
      <c r="AF45" s="284">
        <f t="shared" ref="AF45" si="59">ROUND(U45-1.74,3)</f>
        <v>37.838999999999999</v>
      </c>
      <c r="AG45" s="284">
        <f t="shared" ref="AG45:AH45" si="60">ROUND(V45-1.74,3)</f>
        <v>39.44</v>
      </c>
      <c r="AH45" s="284">
        <f t="shared" si="60"/>
        <v>41.045000000000002</v>
      </c>
      <c r="AJ45" s="276"/>
      <c r="AK45" s="276"/>
    </row>
    <row r="46" spans="1:37">
      <c r="A46" s="211" t="s">
        <v>121</v>
      </c>
      <c r="B46" s="211" t="s">
        <v>122</v>
      </c>
      <c r="C46" s="505">
        <v>230</v>
      </c>
      <c r="D46" s="162">
        <v>5</v>
      </c>
      <c r="E46" s="162" t="s">
        <v>19</v>
      </c>
      <c r="F46" s="162" t="s">
        <v>17</v>
      </c>
      <c r="G46" s="162" t="s">
        <v>18</v>
      </c>
      <c r="H46" s="269">
        <f t="shared" si="51"/>
        <v>32.055</v>
      </c>
      <c r="I46" s="269">
        <f t="shared" si="52"/>
        <v>33.006</v>
      </c>
      <c r="J46" s="269">
        <f t="shared" si="53"/>
        <v>33.985999999999997</v>
      </c>
      <c r="K46" s="269">
        <f t="shared" si="54"/>
        <v>34.994999999999997</v>
      </c>
      <c r="L46" s="269"/>
      <c r="M46" s="269"/>
      <c r="N46" s="269"/>
      <c r="O46" s="526" t="s">
        <v>121</v>
      </c>
      <c r="P46" s="538" t="s">
        <v>122</v>
      </c>
      <c r="Q46" s="526" t="s">
        <v>19</v>
      </c>
      <c r="R46" s="436">
        <v>33.795165403999995</v>
      </c>
      <c r="S46" s="436">
        <v>34.745745891999995</v>
      </c>
      <c r="T46" s="436">
        <v>35.725963415999999</v>
      </c>
      <c r="U46" s="436">
        <v>36.734720307999993</v>
      </c>
      <c r="V46" s="436"/>
      <c r="W46" s="436"/>
      <c r="X46" s="436"/>
      <c r="Y46" s="620"/>
      <c r="Z46" s="279" t="str">
        <f t="shared" si="0"/>
        <v>08568C</v>
      </c>
      <c r="AA46" s="279" t="str">
        <f t="shared" si="1"/>
        <v xml:space="preserve">Public Works Service Worker I </v>
      </c>
      <c r="AB46" s="286" t="str">
        <f t="shared" si="2"/>
        <v>26</v>
      </c>
      <c r="AC46" s="284">
        <f t="shared" si="7"/>
        <v>32.055</v>
      </c>
      <c r="AD46" s="284">
        <f t="shared" ref="AD46:AF49" si="61">ROUND(S46-1.74,3)</f>
        <v>33.006</v>
      </c>
      <c r="AE46" s="284">
        <f t="shared" ref="AE46" si="62">ROUND(T46-1.74,3)</f>
        <v>33.985999999999997</v>
      </c>
      <c r="AF46" s="284">
        <f t="shared" ref="AF46" si="63">ROUND(U46-1.74,3)</f>
        <v>34.994999999999997</v>
      </c>
      <c r="AJ46" s="276"/>
      <c r="AK46" s="276"/>
    </row>
    <row r="47" spans="1:37">
      <c r="A47" s="211" t="s">
        <v>126</v>
      </c>
      <c r="B47" s="211" t="s">
        <v>127</v>
      </c>
      <c r="C47" s="505">
        <v>230</v>
      </c>
      <c r="D47" s="162">
        <v>5</v>
      </c>
      <c r="E47" s="162" t="s">
        <v>124</v>
      </c>
      <c r="F47" s="162" t="s">
        <v>17</v>
      </c>
      <c r="G47" s="162" t="s">
        <v>18</v>
      </c>
      <c r="H47" s="269" t="str">
        <f>"6 months="&amp;TEXT(AC47,"$###.000")</f>
        <v>6 months=$22.500</v>
      </c>
      <c r="I47" s="270" t="str">
        <f>"After 6 months AND holds a CDL ="&amp;TEXT(AD47,"$###.000")</f>
        <v>After 6 months AND holds a CDL =$24.500</v>
      </c>
      <c r="J47" s="269"/>
      <c r="K47" s="269"/>
      <c r="L47" s="269"/>
      <c r="M47" s="269"/>
      <c r="N47" s="269"/>
      <c r="O47" s="526" t="s">
        <v>126</v>
      </c>
      <c r="P47" s="538" t="s">
        <v>127</v>
      </c>
      <c r="Q47" s="526" t="s">
        <v>124</v>
      </c>
      <c r="R47" s="436">
        <v>22.5</v>
      </c>
      <c r="S47" s="436">
        <v>24.5</v>
      </c>
      <c r="T47" s="436"/>
      <c r="U47" s="436"/>
      <c r="V47" s="436"/>
      <c r="W47" s="436"/>
      <c r="X47" s="436"/>
      <c r="Y47" s="620"/>
      <c r="Z47" s="279" t="str">
        <f t="shared" si="0"/>
        <v>08564C</v>
      </c>
      <c r="AA47" s="279" t="str">
        <f t="shared" si="1"/>
        <v xml:space="preserve">Public Works Service Worker I - Trainee </v>
      </c>
      <c r="AB47" s="286" t="str">
        <f t="shared" si="2"/>
        <v>27</v>
      </c>
      <c r="AC47" s="284">
        <f>ROUND(R47,3)</f>
        <v>22.5</v>
      </c>
      <c r="AD47" s="284">
        <f>ROUND(S47,3)</f>
        <v>24.5</v>
      </c>
      <c r="AJ47" s="276"/>
      <c r="AK47" s="276"/>
    </row>
    <row r="48" spans="1:37">
      <c r="A48" s="211" t="s">
        <v>131</v>
      </c>
      <c r="B48" s="211" t="s">
        <v>559</v>
      </c>
      <c r="C48" s="505">
        <v>318</v>
      </c>
      <c r="D48" s="162">
        <v>7</v>
      </c>
      <c r="E48" s="162" t="s">
        <v>130</v>
      </c>
      <c r="F48" s="162" t="s">
        <v>17</v>
      </c>
      <c r="G48" s="162" t="s">
        <v>18</v>
      </c>
      <c r="H48" s="269">
        <f t="shared" si="11"/>
        <v>41.225000000000001</v>
      </c>
      <c r="I48" s="269">
        <f t="shared" ref="I48" si="64">AD48</f>
        <v>42.292000000000002</v>
      </c>
      <c r="J48" s="269">
        <f t="shared" ref="J48" si="65">AE48</f>
        <v>43.569000000000003</v>
      </c>
      <c r="K48" s="269"/>
      <c r="L48" s="269"/>
      <c r="M48" s="269"/>
      <c r="N48" s="269"/>
      <c r="O48" s="526" t="s">
        <v>131</v>
      </c>
      <c r="P48" s="538" t="s">
        <v>559</v>
      </c>
      <c r="Q48" s="526" t="s">
        <v>130</v>
      </c>
      <c r="R48" s="436">
        <v>42.965083876000001</v>
      </c>
      <c r="S48" s="436">
        <v>44.03201717200001</v>
      </c>
      <c r="T48" s="436">
        <v>45.308605055999998</v>
      </c>
      <c r="U48" s="436"/>
      <c r="V48" s="436"/>
      <c r="W48" s="436"/>
      <c r="X48" s="436"/>
      <c r="Y48" s="620"/>
      <c r="Z48" s="279" t="str">
        <f t="shared" si="0"/>
        <v>09194C</v>
      </c>
      <c r="AA48" s="279" t="str">
        <f t="shared" si="1"/>
        <v>Senior Water Treatment Operator*</v>
      </c>
      <c r="AB48" s="286" t="str">
        <f t="shared" si="2"/>
        <v>30</v>
      </c>
      <c r="AC48" s="284">
        <f t="shared" si="7"/>
        <v>41.225000000000001</v>
      </c>
      <c r="AD48" s="284">
        <f t="shared" si="61"/>
        <v>42.292000000000002</v>
      </c>
      <c r="AE48" s="284">
        <f t="shared" si="61"/>
        <v>43.569000000000003</v>
      </c>
      <c r="AJ48" s="276"/>
      <c r="AK48" s="276"/>
    </row>
    <row r="49" spans="1:37">
      <c r="A49" s="211" t="s">
        <v>134</v>
      </c>
      <c r="B49" s="211" t="s">
        <v>135</v>
      </c>
      <c r="C49" s="505">
        <v>310</v>
      </c>
      <c r="D49" s="162">
        <v>6</v>
      </c>
      <c r="E49" s="162" t="s">
        <v>133</v>
      </c>
      <c r="F49" s="162" t="s">
        <v>17</v>
      </c>
      <c r="G49" s="162" t="s">
        <v>18</v>
      </c>
      <c r="H49" s="269">
        <f t="shared" ref="H49" si="66">AC49</f>
        <v>32.936999999999998</v>
      </c>
      <c r="I49" s="269">
        <f t="shared" ref="I49" si="67">AD49</f>
        <v>34.466999999999999</v>
      </c>
      <c r="J49" s="269">
        <f t="shared" ref="J49" si="68">AE49</f>
        <v>35.970999999999997</v>
      </c>
      <c r="K49" s="269">
        <f t="shared" ref="K49" si="69">AF49</f>
        <v>37.585999999999999</v>
      </c>
      <c r="L49" s="269"/>
      <c r="M49" s="269"/>
      <c r="N49" s="269"/>
      <c r="O49" s="526" t="s">
        <v>134</v>
      </c>
      <c r="P49" s="538" t="s">
        <v>135</v>
      </c>
      <c r="Q49" s="526" t="s">
        <v>133</v>
      </c>
      <c r="R49" s="436">
        <v>34.676592807999995</v>
      </c>
      <c r="S49" s="436">
        <v>36.206741999999991</v>
      </c>
      <c r="T49" s="436">
        <v>37.710547159999997</v>
      </c>
      <c r="U49" s="436">
        <v>39.326314455999999</v>
      </c>
      <c r="V49" s="436"/>
      <c r="W49" s="436"/>
      <c r="X49" s="436"/>
      <c r="Y49" s="620"/>
      <c r="Z49" s="279" t="str">
        <f t="shared" si="0"/>
        <v>09184C</v>
      </c>
      <c r="AA49" s="279" t="str">
        <f t="shared" si="1"/>
        <v>Sewer Pumping Station Operator</v>
      </c>
      <c r="AB49" s="286" t="str">
        <f t="shared" si="2"/>
        <v>13</v>
      </c>
      <c r="AC49" s="284">
        <f t="shared" si="7"/>
        <v>32.936999999999998</v>
      </c>
      <c r="AD49" s="284">
        <f t="shared" si="61"/>
        <v>34.466999999999999</v>
      </c>
      <c r="AE49" s="284">
        <f t="shared" si="61"/>
        <v>35.970999999999997</v>
      </c>
      <c r="AF49" s="284">
        <f t="shared" si="61"/>
        <v>37.585999999999999</v>
      </c>
      <c r="AJ49" s="276"/>
      <c r="AK49" s="276"/>
    </row>
    <row r="50" spans="1:37">
      <c r="A50" s="211" t="s">
        <v>136</v>
      </c>
      <c r="B50" s="211" t="s">
        <v>137</v>
      </c>
      <c r="C50" s="505">
        <v>258</v>
      </c>
      <c r="D50" s="162">
        <v>5</v>
      </c>
      <c r="E50" s="162" t="s">
        <v>111</v>
      </c>
      <c r="F50" s="162" t="s">
        <v>17</v>
      </c>
      <c r="G50" s="162" t="s">
        <v>18</v>
      </c>
      <c r="H50" s="269">
        <f t="shared" si="11"/>
        <v>34.994999999999997</v>
      </c>
      <c r="I50" s="269"/>
      <c r="J50" s="269"/>
      <c r="K50" s="269"/>
      <c r="L50" s="269"/>
      <c r="M50" s="269"/>
      <c r="N50" s="269"/>
      <c r="O50" s="526" t="s">
        <v>136</v>
      </c>
      <c r="P50" s="538" t="s">
        <v>137</v>
      </c>
      <c r="Q50" s="526" t="s">
        <v>111</v>
      </c>
      <c r="R50" s="436">
        <v>36.734720307999993</v>
      </c>
      <c r="S50" s="436"/>
      <c r="T50" s="436"/>
      <c r="U50" s="436"/>
      <c r="V50" s="436"/>
      <c r="W50" s="436"/>
      <c r="X50" s="436"/>
      <c r="Y50" s="620"/>
      <c r="Z50" s="279" t="str">
        <f t="shared" si="0"/>
        <v>09220C</v>
      </c>
      <c r="AA50" s="279" t="str">
        <f t="shared" si="1"/>
        <v>Shop Repair Worker I</v>
      </c>
      <c r="AB50" s="286" t="str">
        <f t="shared" si="2"/>
        <v>12</v>
      </c>
      <c r="AC50" s="284">
        <f t="shared" si="7"/>
        <v>34.994999999999997</v>
      </c>
      <c r="AJ50" s="276"/>
      <c r="AK50" s="276"/>
    </row>
    <row r="51" spans="1:37">
      <c r="A51" s="211" t="s">
        <v>138</v>
      </c>
      <c r="B51" s="211" t="s">
        <v>139</v>
      </c>
      <c r="C51" s="505">
        <v>295</v>
      </c>
      <c r="D51" s="162">
        <v>6</v>
      </c>
      <c r="E51" s="162" t="s">
        <v>308</v>
      </c>
      <c r="F51" s="162" t="s">
        <v>17</v>
      </c>
      <c r="G51" s="162" t="s">
        <v>18</v>
      </c>
      <c r="H51" s="269">
        <f t="shared" si="11"/>
        <v>37.006999999999998</v>
      </c>
      <c r="I51" s="269">
        <f t="shared" ref="I51" si="70">AD51</f>
        <v>37.918999999999997</v>
      </c>
      <c r="J51" s="269">
        <f t="shared" ref="J51" si="71">AE51</f>
        <v>38.831000000000003</v>
      </c>
      <c r="K51" s="269"/>
      <c r="L51" s="269"/>
      <c r="M51" s="269"/>
      <c r="N51" s="269"/>
      <c r="O51" s="526" t="s">
        <v>138</v>
      </c>
      <c r="P51" s="538" t="s">
        <v>139</v>
      </c>
      <c r="Q51" s="526" t="s">
        <v>308</v>
      </c>
      <c r="R51" s="436">
        <v>38.746745752000002</v>
      </c>
      <c r="S51" s="436">
        <v>39.658907859999999</v>
      </c>
      <c r="T51" s="436">
        <v>40.571069967999996</v>
      </c>
      <c r="U51" s="436"/>
      <c r="V51" s="436"/>
      <c r="W51" s="436"/>
      <c r="X51" s="436"/>
      <c r="Y51" s="620"/>
      <c r="Z51" s="279" t="str">
        <f t="shared" si="0"/>
        <v>09230C</v>
      </c>
      <c r="AA51" s="279" t="str">
        <f t="shared" si="1"/>
        <v>Shop Repair Worker II</v>
      </c>
      <c r="AB51" s="286" t="str">
        <f t="shared" si="2"/>
        <v>17</v>
      </c>
      <c r="AC51" s="284">
        <f t="shared" si="7"/>
        <v>37.006999999999998</v>
      </c>
      <c r="AD51" s="284">
        <f t="shared" ref="AD51:AD53" si="72">ROUND(S51-1.74,3)</f>
        <v>37.918999999999997</v>
      </c>
      <c r="AE51" s="284">
        <f t="shared" ref="AE51:AE53" si="73">ROUND(T51-1.74,3)</f>
        <v>38.831000000000003</v>
      </c>
      <c r="AJ51" s="276"/>
      <c r="AK51" s="276"/>
    </row>
    <row r="52" spans="1:37">
      <c r="A52" s="211" t="s">
        <v>140</v>
      </c>
      <c r="B52" s="211" t="s">
        <v>141</v>
      </c>
      <c r="C52" s="505">
        <v>260</v>
      </c>
      <c r="D52" s="162">
        <v>5</v>
      </c>
      <c r="E52" s="162">
        <v>8</v>
      </c>
      <c r="F52" s="162" t="s">
        <v>17</v>
      </c>
      <c r="G52" s="162" t="s">
        <v>18</v>
      </c>
      <c r="H52" s="269">
        <f t="shared" ref="H52:H53" si="74">AC52</f>
        <v>25.420999999999999</v>
      </c>
      <c r="I52" s="269">
        <f t="shared" ref="I52:I53" si="75">AD52</f>
        <v>26.856999999999999</v>
      </c>
      <c r="J52" s="269">
        <f t="shared" ref="J52:J53" si="76">AE52</f>
        <v>29.331</v>
      </c>
      <c r="K52" s="269">
        <f t="shared" ref="K52:K53" si="77">AF52</f>
        <v>30.4</v>
      </c>
      <c r="L52" s="269">
        <f t="shared" ref="L52:L53" si="78">AG52</f>
        <v>32.554000000000002</v>
      </c>
      <c r="M52" s="269">
        <f t="shared" ref="M52:N53" si="79">AH52</f>
        <v>33.837000000000003</v>
      </c>
      <c r="N52" s="269">
        <f t="shared" si="79"/>
        <v>34.994999999999997</v>
      </c>
      <c r="O52" s="526" t="s">
        <v>140</v>
      </c>
      <c r="P52" s="538" t="s">
        <v>141</v>
      </c>
      <c r="Q52" s="526">
        <v>8</v>
      </c>
      <c r="R52" s="436">
        <v>27.160860011999997</v>
      </c>
      <c r="S52" s="436">
        <v>28.596609755999999</v>
      </c>
      <c r="T52" s="436">
        <v>31.070753427999996</v>
      </c>
      <c r="U52" s="436">
        <v>32.139882059999998</v>
      </c>
      <c r="V52" s="436">
        <v>34.293506675999993</v>
      </c>
      <c r="W52" s="436">
        <v>35.576680568</v>
      </c>
      <c r="X52" s="436">
        <v>36.734720307999993</v>
      </c>
      <c r="Y52" s="620"/>
      <c r="Z52" s="279" t="str">
        <f t="shared" si="0"/>
        <v>09400C</v>
      </c>
      <c r="AA52" s="279" t="str">
        <f t="shared" si="1"/>
        <v>Stock Worker</v>
      </c>
      <c r="AB52" s="286">
        <f t="shared" si="2"/>
        <v>8</v>
      </c>
      <c r="AC52" s="284">
        <f t="shared" si="7"/>
        <v>25.420999999999999</v>
      </c>
      <c r="AD52" s="284">
        <f t="shared" si="72"/>
        <v>26.856999999999999</v>
      </c>
      <c r="AE52" s="284">
        <f t="shared" si="73"/>
        <v>29.331</v>
      </c>
      <c r="AF52" s="284">
        <f t="shared" ref="AF52:AF53" si="80">ROUND(U52-1.74,3)</f>
        <v>30.4</v>
      </c>
      <c r="AG52" s="284">
        <f t="shared" ref="AG52:AG53" si="81">ROUND(V52-1.74,3)</f>
        <v>32.554000000000002</v>
      </c>
      <c r="AH52" s="284">
        <f t="shared" ref="AH52:AH53" si="82">ROUND(W52-1.74,3)</f>
        <v>33.837000000000003</v>
      </c>
      <c r="AI52" s="284">
        <f t="shared" ref="AI52" si="83">ROUND(X52-1.74,3)</f>
        <v>34.994999999999997</v>
      </c>
      <c r="AJ52" s="276"/>
      <c r="AK52" s="276"/>
    </row>
    <row r="53" spans="1:37">
      <c r="A53" s="211" t="s">
        <v>142</v>
      </c>
      <c r="B53" s="211" t="s">
        <v>143</v>
      </c>
      <c r="C53" s="505">
        <v>333</v>
      </c>
      <c r="D53" s="162">
        <v>7</v>
      </c>
      <c r="E53" s="162" t="s">
        <v>118</v>
      </c>
      <c r="F53" s="162" t="s">
        <v>17</v>
      </c>
      <c r="G53" s="162" t="s">
        <v>18</v>
      </c>
      <c r="H53" s="269">
        <f t="shared" si="74"/>
        <v>33.040999999999997</v>
      </c>
      <c r="I53" s="269">
        <f t="shared" si="75"/>
        <v>34.64</v>
      </c>
      <c r="J53" s="269">
        <f t="shared" si="76"/>
        <v>36.243000000000002</v>
      </c>
      <c r="K53" s="269">
        <f t="shared" si="77"/>
        <v>37.838999999999999</v>
      </c>
      <c r="L53" s="269">
        <f t="shared" si="78"/>
        <v>39.44</v>
      </c>
      <c r="M53" s="269">
        <f t="shared" si="79"/>
        <v>41.045000000000002</v>
      </c>
      <c r="N53" s="269"/>
      <c r="O53" s="526" t="s">
        <v>142</v>
      </c>
      <c r="P53" s="538" t="s">
        <v>143</v>
      </c>
      <c r="Q53" s="526" t="s">
        <v>118</v>
      </c>
      <c r="R53" s="436">
        <v>34.780871267999999</v>
      </c>
      <c r="S53" s="436">
        <v>36.380173544000002</v>
      </c>
      <c r="T53" s="436">
        <v>37.982768824000004</v>
      </c>
      <c r="U53" s="436">
        <v>39.578778096000001</v>
      </c>
      <c r="V53" s="436">
        <v>41.180275707999996</v>
      </c>
      <c r="W53" s="436">
        <v>42.785066323999999</v>
      </c>
      <c r="X53" s="436"/>
      <c r="Y53" s="620"/>
      <c r="Z53" s="279" t="str">
        <f t="shared" si="0"/>
        <v>09284C</v>
      </c>
      <c r="AA53" s="279" t="str">
        <f t="shared" si="1"/>
        <v xml:space="preserve">Stores Center Coordinator   </v>
      </c>
      <c r="AB53" s="286" t="str">
        <f t="shared" si="2"/>
        <v>28</v>
      </c>
      <c r="AC53" s="284">
        <f t="shared" si="7"/>
        <v>33.040999999999997</v>
      </c>
      <c r="AD53" s="284">
        <f t="shared" si="72"/>
        <v>34.64</v>
      </c>
      <c r="AE53" s="284">
        <f t="shared" si="73"/>
        <v>36.243000000000002</v>
      </c>
      <c r="AF53" s="284">
        <f t="shared" si="80"/>
        <v>37.838999999999999</v>
      </c>
      <c r="AG53" s="284">
        <f t="shared" si="81"/>
        <v>39.44</v>
      </c>
      <c r="AH53" s="284">
        <f t="shared" si="82"/>
        <v>41.045000000000002</v>
      </c>
      <c r="AJ53" s="276"/>
      <c r="AK53" s="276"/>
    </row>
    <row r="54" spans="1:37">
      <c r="A54" s="211" t="s">
        <v>384</v>
      </c>
      <c r="B54" s="211" t="s">
        <v>560</v>
      </c>
      <c r="C54" s="505" t="s">
        <v>561</v>
      </c>
      <c r="D54" s="162" t="s">
        <v>561</v>
      </c>
      <c r="E54" s="162" t="s">
        <v>383</v>
      </c>
      <c r="F54" s="162" t="s">
        <v>17</v>
      </c>
      <c r="G54" s="162" t="s">
        <v>18</v>
      </c>
      <c r="H54" s="269">
        <f t="shared" si="11"/>
        <v>40.421999999999997</v>
      </c>
      <c r="I54" s="269"/>
      <c r="J54" s="269"/>
      <c r="K54" s="269"/>
      <c r="L54" s="269"/>
      <c r="M54" s="269"/>
      <c r="N54" s="269"/>
      <c r="O54" s="526" t="s">
        <v>384</v>
      </c>
      <c r="P54" s="538" t="s">
        <v>560</v>
      </c>
      <c r="Q54" s="526" t="s">
        <v>383</v>
      </c>
      <c r="R54" s="436">
        <v>40.421999999999997</v>
      </c>
      <c r="S54" s="436"/>
      <c r="T54" s="436"/>
      <c r="U54" s="436"/>
      <c r="V54" s="436"/>
      <c r="W54" s="436"/>
      <c r="X54" s="436"/>
      <c r="Y54" s="620"/>
      <c r="Z54" s="279" t="str">
        <f t="shared" si="0"/>
        <v>52931C</v>
      </c>
      <c r="AA54" s="279" t="str">
        <f t="shared" si="1"/>
        <v>Union Leader (Park Keeper Crew Leader) - determined by Pk Bd</v>
      </c>
      <c r="AB54" s="286" t="str">
        <f t="shared" si="2"/>
        <v>38</v>
      </c>
      <c r="AC54" s="284">
        <f>ROUND(R54,3)</f>
        <v>40.421999999999997</v>
      </c>
      <c r="AD54" s="284"/>
      <c r="AE54" s="284"/>
      <c r="AF54" s="284"/>
      <c r="AJ54" s="276"/>
      <c r="AK54" s="276"/>
    </row>
    <row r="55" spans="1:37">
      <c r="A55" s="211" t="s">
        <v>513</v>
      </c>
      <c r="B55" s="211" t="s">
        <v>514</v>
      </c>
      <c r="C55" s="505">
        <v>335</v>
      </c>
      <c r="D55" s="162">
        <v>7</v>
      </c>
      <c r="E55" s="162" t="s">
        <v>512</v>
      </c>
      <c r="F55" s="162" t="s">
        <v>17</v>
      </c>
      <c r="G55" s="162" t="s">
        <v>18</v>
      </c>
      <c r="H55" s="269">
        <f t="shared" si="11"/>
        <v>37.74</v>
      </c>
      <c r="I55" s="269">
        <f t="shared" ref="I55:I58" si="84">AD55</f>
        <v>38.81</v>
      </c>
      <c r="J55" s="269">
        <f t="shared" ref="J55:J58" si="85">AE55</f>
        <v>39.911000000000001</v>
      </c>
      <c r="K55" s="269">
        <f t="shared" ref="K55:K58" si="86">AF55</f>
        <v>41.045000000000002</v>
      </c>
      <c r="L55" s="269"/>
      <c r="M55" s="269"/>
      <c r="N55" s="269"/>
      <c r="O55" s="526" t="s">
        <v>513</v>
      </c>
      <c r="P55" s="538" t="s">
        <v>514</v>
      </c>
      <c r="Q55" s="526" t="s">
        <v>512</v>
      </c>
      <c r="R55" s="436">
        <v>39.479987975999997</v>
      </c>
      <c r="S55" s="436">
        <v>40.550214275999998</v>
      </c>
      <c r="T55" s="436">
        <v>41.651175279999997</v>
      </c>
      <c r="U55" s="436">
        <v>42.785066323999999</v>
      </c>
      <c r="V55" s="436"/>
      <c r="W55" s="436"/>
      <c r="X55" s="436"/>
      <c r="Y55" s="620"/>
      <c r="Z55" s="279" t="str">
        <f t="shared" si="0"/>
        <v>53050C</v>
      </c>
      <c r="AA55" s="279" t="str">
        <f t="shared" si="1"/>
        <v>Water Treatment Campus Coordinator</v>
      </c>
      <c r="AB55" s="286" t="str">
        <f t="shared" si="2"/>
        <v>41</v>
      </c>
      <c r="AC55" s="284">
        <f t="shared" si="7"/>
        <v>37.74</v>
      </c>
      <c r="AD55" s="284">
        <f t="shared" ref="AD55:AD58" si="87">ROUND(S55-1.74,3)</f>
        <v>38.81</v>
      </c>
      <c r="AE55" s="284">
        <f t="shared" ref="AE55:AE58" si="88">ROUND(T55-1.74,3)</f>
        <v>39.911000000000001</v>
      </c>
      <c r="AF55" s="284">
        <f t="shared" ref="AF55:AF58" si="89">ROUND(U55-1.74,3)</f>
        <v>41.045000000000002</v>
      </c>
      <c r="AJ55" s="276"/>
      <c r="AK55" s="276"/>
    </row>
    <row r="56" spans="1:37">
      <c r="A56" s="211" t="s">
        <v>144</v>
      </c>
      <c r="B56" s="211" t="s">
        <v>145</v>
      </c>
      <c r="C56" s="505">
        <v>265</v>
      </c>
      <c r="D56" s="162">
        <v>5</v>
      </c>
      <c r="E56" s="162">
        <v>22</v>
      </c>
      <c r="F56" s="162" t="s">
        <v>17</v>
      </c>
      <c r="G56" s="162" t="s">
        <v>18</v>
      </c>
      <c r="H56" s="269">
        <f t="shared" si="11"/>
        <v>37.448999999999998</v>
      </c>
      <c r="I56" s="269">
        <f t="shared" si="84"/>
        <v>38.159999999999997</v>
      </c>
      <c r="J56" s="269">
        <f t="shared" si="85"/>
        <v>38.871000000000002</v>
      </c>
      <c r="K56" s="269">
        <f t="shared" si="86"/>
        <v>39.582000000000001</v>
      </c>
      <c r="L56" s="269"/>
      <c r="M56" s="269"/>
      <c r="N56" s="269"/>
      <c r="O56" s="526" t="s">
        <v>144</v>
      </c>
      <c r="P56" s="538" t="s">
        <v>145</v>
      </c>
      <c r="Q56" s="526">
        <v>22</v>
      </c>
      <c r="R56" s="436">
        <v>39.189105955999999</v>
      </c>
      <c r="S56" s="436">
        <v>39.900394820000002</v>
      </c>
      <c r="T56" s="436">
        <v>40.610586015999999</v>
      </c>
      <c r="U56" s="436">
        <v>41.32187488000001</v>
      </c>
      <c r="V56" s="436"/>
      <c r="W56" s="436"/>
      <c r="X56" s="436"/>
      <c r="Y56" s="620"/>
      <c r="Z56" s="279" t="str">
        <f t="shared" si="0"/>
        <v>10908C</v>
      </c>
      <c r="AA56" s="279" t="str">
        <f t="shared" si="1"/>
        <v>Water Treatment Operator* (see below for Step)</v>
      </c>
      <c r="AB56" s="286">
        <f t="shared" si="2"/>
        <v>22</v>
      </c>
      <c r="AC56" s="284">
        <f t="shared" si="7"/>
        <v>37.448999999999998</v>
      </c>
      <c r="AD56" s="284">
        <f t="shared" si="87"/>
        <v>38.159999999999997</v>
      </c>
      <c r="AE56" s="284">
        <f t="shared" si="88"/>
        <v>38.871000000000002</v>
      </c>
      <c r="AF56" s="284">
        <f t="shared" si="89"/>
        <v>39.582000000000001</v>
      </c>
      <c r="AJ56" s="276"/>
      <c r="AK56" s="276"/>
    </row>
    <row r="57" spans="1:37">
      <c r="A57" s="211" t="s">
        <v>146</v>
      </c>
      <c r="B57" s="211" t="s">
        <v>147</v>
      </c>
      <c r="C57" s="505">
        <v>253</v>
      </c>
      <c r="D57" s="162">
        <v>5</v>
      </c>
      <c r="E57" s="162" t="s">
        <v>65</v>
      </c>
      <c r="F57" s="162" t="s">
        <v>17</v>
      </c>
      <c r="G57" s="162" t="s">
        <v>18</v>
      </c>
      <c r="H57" s="269">
        <f t="shared" si="11"/>
        <v>31.349</v>
      </c>
      <c r="I57" s="269">
        <f t="shared" si="84"/>
        <v>32.338999999999999</v>
      </c>
      <c r="J57" s="269">
        <f t="shared" si="85"/>
        <v>33.366</v>
      </c>
      <c r="K57" s="269">
        <f t="shared" si="86"/>
        <v>34.630000000000003</v>
      </c>
      <c r="L57" s="269"/>
      <c r="M57" s="269"/>
      <c r="N57" s="269"/>
      <c r="O57" s="526" t="s">
        <v>146</v>
      </c>
      <c r="P57" s="538" t="s">
        <v>147</v>
      </c>
      <c r="Q57" s="526" t="s">
        <v>65</v>
      </c>
      <c r="R57" s="436">
        <v>33.089364879999998</v>
      </c>
      <c r="S57" s="436">
        <v>34.079461415999994</v>
      </c>
      <c r="T57" s="436">
        <v>35.105780995999993</v>
      </c>
      <c r="U57" s="436">
        <v>36.370294532000003</v>
      </c>
      <c r="V57" s="436"/>
      <c r="W57" s="436"/>
      <c r="X57" s="436"/>
      <c r="Y57" s="620"/>
      <c r="Z57" s="279" t="str">
        <f t="shared" si="0"/>
        <v>11030C</v>
      </c>
      <c r="AA57" s="279" t="str">
        <f t="shared" si="1"/>
        <v>Yard Coordinator I</v>
      </c>
      <c r="AB57" s="286" t="str">
        <f t="shared" si="2"/>
        <v>06B</v>
      </c>
      <c r="AC57" s="284">
        <f t="shared" si="7"/>
        <v>31.349</v>
      </c>
      <c r="AD57" s="284">
        <f t="shared" si="87"/>
        <v>32.338999999999999</v>
      </c>
      <c r="AE57" s="284">
        <f t="shared" si="88"/>
        <v>33.366</v>
      </c>
      <c r="AF57" s="284">
        <f t="shared" si="89"/>
        <v>34.630000000000003</v>
      </c>
      <c r="AJ57" s="276"/>
      <c r="AK57" s="276"/>
    </row>
    <row r="58" spans="1:37">
      <c r="A58" s="211" t="s">
        <v>148</v>
      </c>
      <c r="B58" s="211" t="s">
        <v>149</v>
      </c>
      <c r="C58" s="505">
        <v>275</v>
      </c>
      <c r="D58" s="162">
        <v>6</v>
      </c>
      <c r="E58" s="162">
        <v>13</v>
      </c>
      <c r="F58" s="162" t="s">
        <v>17</v>
      </c>
      <c r="G58" s="162" t="s">
        <v>18</v>
      </c>
      <c r="H58" s="269">
        <f t="shared" si="11"/>
        <v>32.936999999999998</v>
      </c>
      <c r="I58" s="269">
        <f t="shared" si="84"/>
        <v>34.466999999999999</v>
      </c>
      <c r="J58" s="269">
        <f t="shared" si="85"/>
        <v>35.970999999999997</v>
      </c>
      <c r="K58" s="269">
        <f t="shared" si="86"/>
        <v>37.585999999999999</v>
      </c>
      <c r="L58" s="269"/>
      <c r="M58" s="269"/>
      <c r="N58" s="269"/>
      <c r="O58" s="526" t="s">
        <v>148</v>
      </c>
      <c r="P58" s="538" t="s">
        <v>149</v>
      </c>
      <c r="Q58" s="526">
        <v>13</v>
      </c>
      <c r="R58" s="436">
        <v>34.676592807999995</v>
      </c>
      <c r="S58" s="436">
        <v>36.206741999999991</v>
      </c>
      <c r="T58" s="436">
        <v>37.710547159999997</v>
      </c>
      <c r="U58" s="436">
        <v>39.326314455999999</v>
      </c>
      <c r="V58" s="436"/>
      <c r="W58" s="436"/>
      <c r="X58" s="436"/>
      <c r="Y58" s="620"/>
      <c r="Z58" s="279" t="str">
        <f t="shared" si="0"/>
        <v>11040C</v>
      </c>
      <c r="AA58" s="279" t="str">
        <f t="shared" si="1"/>
        <v>Yard Coordinator II</v>
      </c>
      <c r="AB58" s="286">
        <f t="shared" si="2"/>
        <v>13</v>
      </c>
      <c r="AC58" s="284">
        <f t="shared" si="7"/>
        <v>32.936999999999998</v>
      </c>
      <c r="AD58" s="284">
        <f t="shared" si="87"/>
        <v>34.466999999999999</v>
      </c>
      <c r="AE58" s="284">
        <f t="shared" si="88"/>
        <v>35.970999999999997</v>
      </c>
      <c r="AF58" s="284">
        <f t="shared" si="89"/>
        <v>37.585999999999999</v>
      </c>
      <c r="AJ58" s="276"/>
      <c r="AK58" s="276"/>
    </row>
    <row r="59" spans="1:37">
      <c r="A59" s="211"/>
      <c r="B59" s="159"/>
      <c r="C59" s="162"/>
      <c r="D59" s="162"/>
      <c r="E59" s="162"/>
      <c r="F59" s="162"/>
      <c r="O59" s="527"/>
      <c r="P59" s="527"/>
      <c r="Q59" s="526"/>
    </row>
    <row r="60" spans="1:37">
      <c r="A60" s="406" t="s">
        <v>386</v>
      </c>
      <c r="B60" s="159"/>
      <c r="C60" s="162"/>
      <c r="D60" s="162"/>
      <c r="E60" s="162"/>
      <c r="F60" s="162"/>
      <c r="O60" s="539" t="s">
        <v>386</v>
      </c>
      <c r="P60" s="527"/>
      <c r="Q60" s="526"/>
    </row>
    <row r="61" spans="1:37">
      <c r="A61" s="389" t="s">
        <v>344</v>
      </c>
      <c r="B61" s="385"/>
      <c r="C61" s="502"/>
      <c r="D61" s="502"/>
      <c r="E61" s="502"/>
      <c r="F61" s="502"/>
      <c r="G61" s="388"/>
      <c r="H61" s="394"/>
      <c r="I61" s="394"/>
      <c r="O61" s="540" t="s">
        <v>344</v>
      </c>
      <c r="P61" s="541"/>
      <c r="Q61" s="542"/>
      <c r="R61" s="543"/>
      <c r="S61" s="543"/>
    </row>
    <row r="62" spans="1:37">
      <c r="A62" s="387" t="s">
        <v>154</v>
      </c>
      <c r="B62" s="387" t="s">
        <v>457</v>
      </c>
      <c r="C62" s="388"/>
      <c r="D62" s="388"/>
      <c r="E62" s="388"/>
      <c r="F62" s="388"/>
      <c r="O62" s="544" t="s">
        <v>154</v>
      </c>
      <c r="P62" s="545" t="s">
        <v>457</v>
      </c>
      <c r="Q62" s="543"/>
    </row>
    <row r="63" spans="1:37">
      <c r="A63" s="387" t="s">
        <v>156</v>
      </c>
      <c r="B63" s="387" t="s">
        <v>458</v>
      </c>
      <c r="C63" s="388"/>
      <c r="D63" s="388"/>
      <c r="E63" s="388"/>
      <c r="F63" s="388"/>
      <c r="O63" s="544" t="s">
        <v>156</v>
      </c>
      <c r="P63" s="545" t="s">
        <v>458</v>
      </c>
      <c r="Q63" s="543"/>
    </row>
    <row r="64" spans="1:37">
      <c r="A64" s="387" t="s">
        <v>158</v>
      </c>
      <c r="B64" s="387" t="s">
        <v>459</v>
      </c>
      <c r="C64" s="388"/>
      <c r="D64" s="388"/>
      <c r="E64" s="388"/>
      <c r="F64" s="388"/>
      <c r="O64" s="544" t="s">
        <v>158</v>
      </c>
      <c r="P64" s="545" t="s">
        <v>459</v>
      </c>
      <c r="Q64" s="543"/>
    </row>
    <row r="65" spans="1:29">
      <c r="A65" s="211"/>
      <c r="B65" s="159"/>
      <c r="C65" s="162"/>
      <c r="D65" s="162"/>
      <c r="E65" s="162"/>
      <c r="F65" s="162"/>
      <c r="O65" s="527"/>
      <c r="P65" s="527"/>
      <c r="Q65" s="526"/>
    </row>
    <row r="66" spans="1:29">
      <c r="A66" s="389" t="s">
        <v>345</v>
      </c>
      <c r="B66" s="385"/>
      <c r="C66" s="502"/>
      <c r="D66" s="502"/>
      <c r="E66" s="502"/>
      <c r="F66" s="502"/>
      <c r="G66" s="388"/>
      <c r="H66" s="394"/>
      <c r="I66" s="394"/>
      <c r="J66" s="394"/>
      <c r="K66" s="394"/>
      <c r="O66" s="541" t="s">
        <v>345</v>
      </c>
      <c r="P66" s="541"/>
      <c r="Q66" s="542"/>
      <c r="R66" s="543"/>
      <c r="S66" s="543"/>
      <c r="T66" s="543"/>
      <c r="U66" s="543"/>
    </row>
    <row r="67" spans="1:29">
      <c r="A67" s="387" t="s">
        <v>154</v>
      </c>
      <c r="B67" s="392" t="s">
        <v>515</v>
      </c>
      <c r="C67" s="394"/>
      <c r="D67" s="394"/>
      <c r="E67" s="394"/>
      <c r="F67" s="394"/>
      <c r="G67" s="394"/>
      <c r="J67" s="394"/>
      <c r="K67" s="394"/>
      <c r="O67" s="544" t="s">
        <v>154</v>
      </c>
      <c r="P67" s="545" t="s">
        <v>515</v>
      </c>
      <c r="Q67" s="543"/>
      <c r="T67" s="543"/>
      <c r="U67" s="543"/>
    </row>
    <row r="68" spans="1:29">
      <c r="A68" s="387" t="s">
        <v>156</v>
      </c>
      <c r="B68" s="392" t="s">
        <v>457</v>
      </c>
      <c r="C68" s="394"/>
      <c r="D68" s="394"/>
      <c r="E68" s="394"/>
      <c r="F68" s="394"/>
      <c r="G68" s="394"/>
      <c r="J68" s="394"/>
      <c r="K68" s="394"/>
      <c r="O68" s="544" t="s">
        <v>156</v>
      </c>
      <c r="P68" s="545" t="s">
        <v>457</v>
      </c>
      <c r="Q68" s="543"/>
      <c r="T68" s="543"/>
      <c r="U68" s="543"/>
    </row>
    <row r="69" spans="1:29">
      <c r="A69" s="387" t="s">
        <v>158</v>
      </c>
      <c r="B69" s="392" t="s">
        <v>458</v>
      </c>
      <c r="C69" s="394"/>
      <c r="D69" s="394"/>
      <c r="E69" s="394"/>
      <c r="F69" s="394"/>
      <c r="G69" s="394"/>
      <c r="J69" s="394"/>
      <c r="K69" s="394"/>
      <c r="O69" s="544" t="s">
        <v>158</v>
      </c>
      <c r="P69" s="545" t="s">
        <v>458</v>
      </c>
      <c r="Q69" s="543"/>
      <c r="T69" s="543"/>
      <c r="U69" s="543"/>
    </row>
    <row r="70" spans="1:29">
      <c r="A70" s="387" t="s">
        <v>170</v>
      </c>
      <c r="B70" s="392" t="s">
        <v>459</v>
      </c>
      <c r="C70" s="394"/>
      <c r="D70" s="394"/>
      <c r="E70" s="394"/>
      <c r="F70" s="394"/>
      <c r="G70" s="394"/>
      <c r="J70" s="394"/>
      <c r="K70" s="394"/>
      <c r="O70" s="544" t="s">
        <v>170</v>
      </c>
      <c r="P70" s="545" t="s">
        <v>459</v>
      </c>
      <c r="Q70" s="543"/>
      <c r="T70" s="543"/>
      <c r="U70" s="543"/>
    </row>
    <row r="71" spans="1:29">
      <c r="A71" s="211"/>
      <c r="B71" s="159"/>
      <c r="C71" s="162"/>
      <c r="D71" s="162"/>
      <c r="E71" s="162"/>
      <c r="F71" s="162"/>
      <c r="O71" s="527"/>
      <c r="P71" s="527"/>
      <c r="Q71" s="526"/>
    </row>
    <row r="72" spans="1:29">
      <c r="A72" s="448" t="s">
        <v>562</v>
      </c>
      <c r="B72" s="159"/>
      <c r="C72" s="162"/>
      <c r="D72" s="162"/>
      <c r="E72" s="162"/>
      <c r="F72" s="162"/>
      <c r="O72" s="546" t="s">
        <v>562</v>
      </c>
      <c r="P72" s="527"/>
      <c r="Q72" s="526"/>
    </row>
    <row r="73" spans="1:29">
      <c r="A73" s="398" t="s">
        <v>447</v>
      </c>
      <c r="B73" s="159"/>
      <c r="C73" s="162"/>
      <c r="D73" s="162"/>
      <c r="E73" s="162"/>
      <c r="F73" s="162"/>
      <c r="O73" s="547" t="s">
        <v>447</v>
      </c>
      <c r="P73" s="527"/>
      <c r="Q73" s="526"/>
    </row>
    <row r="74" spans="1:29">
      <c r="A74" s="384" t="str">
        <f>"Plant Service Workers who hold a Class 'D' Water Supply Certificate shall receive an additional "&amp;TEXT(AC74,"$0.000")&amp;" per hour for all hours paid."</f>
        <v>Plant Service Workers who hold a Class 'D' Water Supply Certificate shall receive an additional $0.292 per hour for all hours paid.</v>
      </c>
      <c r="B74" s="159"/>
      <c r="C74" s="162"/>
      <c r="D74" s="162"/>
      <c r="E74" s="162"/>
      <c r="F74" s="162"/>
      <c r="O74" s="548" t="str">
        <f>"Plant Service Workers who hold a Class 'D' Water Supply Certificate shall receive an additional "&amp;TEXT(AC74,"$0.000")&amp;" per hour for all hours paid."</f>
        <v>Plant Service Workers who hold a Class 'D' Water Supply Certificate shall receive an additional $0.292 per hour for all hours paid.</v>
      </c>
      <c r="P74" s="527"/>
      <c r="Q74" s="526"/>
      <c r="Y74" s="286" t="s">
        <v>445</v>
      </c>
      <c r="Z74" s="279" t="s">
        <v>389</v>
      </c>
      <c r="AC74" s="322">
        <v>0.29199999999999998</v>
      </c>
    </row>
    <row r="75" spans="1:29">
      <c r="A75" s="211"/>
      <c r="B75" s="159"/>
      <c r="C75" s="162"/>
      <c r="D75" s="162"/>
      <c r="E75" s="162"/>
      <c r="F75" s="162"/>
      <c r="O75" s="527"/>
      <c r="P75" s="527"/>
      <c r="Q75" s="526"/>
    </row>
    <row r="76" spans="1:29">
      <c r="A76" s="398" t="s">
        <v>563</v>
      </c>
      <c r="B76" s="159"/>
      <c r="C76" s="162"/>
      <c r="D76" s="162"/>
      <c r="E76" s="162"/>
      <c r="F76" s="162"/>
      <c r="O76" s="547" t="s">
        <v>563</v>
      </c>
      <c r="P76" s="527"/>
      <c r="Q76" s="526"/>
    </row>
    <row r="77" spans="1:29">
      <c r="A77" s="415" t="s">
        <v>564</v>
      </c>
      <c r="O77" s="549" t="s">
        <v>564</v>
      </c>
    </row>
    <row r="78" spans="1:29">
      <c r="A78" s="415" t="s">
        <v>565</v>
      </c>
      <c r="O78" s="549" t="s">
        <v>565</v>
      </c>
    </row>
    <row r="79" spans="1:29">
      <c r="A79" s="416" t="s">
        <v>566</v>
      </c>
      <c r="C79" s="450">
        <f>AC79</f>
        <v>0.29199999999999998</v>
      </c>
      <c r="O79" s="550" t="s">
        <v>566</v>
      </c>
      <c r="Y79" s="286" t="s">
        <v>445</v>
      </c>
      <c r="Z79" s="279" t="s">
        <v>567</v>
      </c>
      <c r="AC79" s="322">
        <v>0.29199999999999998</v>
      </c>
    </row>
    <row r="80" spans="1:29">
      <c r="A80" s="416" t="s">
        <v>568</v>
      </c>
      <c r="C80" s="450">
        <f t="shared" ref="C80:C82" si="90">AC80</f>
        <v>0.52300000000000002</v>
      </c>
      <c r="O80" s="550" t="s">
        <v>568</v>
      </c>
      <c r="Y80" s="286" t="s">
        <v>445</v>
      </c>
      <c r="Z80" s="279" t="s">
        <v>569</v>
      </c>
      <c r="AC80" s="322">
        <v>0.52300000000000002</v>
      </c>
    </row>
    <row r="81" spans="1:29">
      <c r="A81" s="416" t="s">
        <v>570</v>
      </c>
      <c r="C81" s="450">
        <f t="shared" si="90"/>
        <v>0.78400000000000003</v>
      </c>
      <c r="O81" s="550" t="s">
        <v>570</v>
      </c>
      <c r="Y81" s="286" t="s">
        <v>445</v>
      </c>
      <c r="Z81" s="279" t="s">
        <v>571</v>
      </c>
      <c r="AC81" s="322">
        <v>0.78400000000000003</v>
      </c>
    </row>
    <row r="82" spans="1:29">
      <c r="A82" s="416" t="s">
        <v>572</v>
      </c>
      <c r="C82" s="450">
        <f t="shared" si="90"/>
        <v>1.0449999999999999</v>
      </c>
      <c r="O82" s="550" t="s">
        <v>572</v>
      </c>
      <c r="Y82" s="286" t="s">
        <v>445</v>
      </c>
      <c r="Z82" s="279" t="s">
        <v>573</v>
      </c>
      <c r="AC82" s="322">
        <v>1.0449999999999999</v>
      </c>
    </row>
    <row r="84" spans="1:29">
      <c r="A84" s="384" t="s">
        <v>574</v>
      </c>
      <c r="O84" s="548" t="s">
        <v>574</v>
      </c>
    </row>
    <row r="85" spans="1:29">
      <c r="A85" s="384" t="s">
        <v>176</v>
      </c>
      <c r="O85" s="548" t="s">
        <v>176</v>
      </c>
    </row>
    <row r="87" spans="1:29">
      <c r="A87" s="625" t="s">
        <v>575</v>
      </c>
      <c r="O87" s="541" t="s">
        <v>575</v>
      </c>
    </row>
    <row r="88" spans="1:29">
      <c r="A88" s="392" t="s">
        <v>527</v>
      </c>
      <c r="O88" s="551" t="s">
        <v>527</v>
      </c>
    </row>
    <row r="89" spans="1:29">
      <c r="A89" s="384" t="str">
        <f>"duties, and shall receive a premium of "&amp;TEXT(AC89,"$0.000" )&amp;" per hour on an 'as worked' basis when so assigned."</f>
        <v>duties, and shall receive a premium of $2.173 per hour on an 'as worked' basis when so assigned.</v>
      </c>
      <c r="O89" s="552" t="str">
        <f>"duties, and shall receive a premium of "&amp;TEXT(AC89,"$0.000" )&amp;" per hour on an 'as worked' basis when so assigned."</f>
        <v>duties, and shall receive a premium of $2.173 per hour on an 'as worked' basis when so assigned.</v>
      </c>
      <c r="Y89" s="286" t="s">
        <v>445</v>
      </c>
      <c r="Z89" s="279" t="s">
        <v>391</v>
      </c>
      <c r="AC89" s="322">
        <v>2.173</v>
      </c>
    </row>
    <row r="90" spans="1:29">
      <c r="A90" s="384"/>
      <c r="O90" s="552"/>
      <c r="AC90" s="322"/>
    </row>
    <row r="91" spans="1:29">
      <c r="A91" s="626" t="s">
        <v>576</v>
      </c>
      <c r="O91" s="553" t="s">
        <v>576</v>
      </c>
      <c r="Z91" s="322"/>
    </row>
    <row r="92" spans="1:29">
      <c r="A92" s="221" t="str">
        <f>"Employees assigned to perform encampment cleanup or closure duties will receive a critical response premium of "&amp;TEXT(AC92,"$##0.000")&amp;" per hour"</f>
        <v>Employees assigned to perform encampment cleanup or closure duties will receive a critical response premium of $5.000 per hour</v>
      </c>
      <c r="O92" s="532" t="str">
        <f>"Employees assigned to perform encampment cleanup or closure duties will receive a critical response premium of "&amp;TEXT(AC92,"$##0.000")&amp;" per hour"</f>
        <v>Employees assigned to perform encampment cleanup or closure duties will receive a critical response premium of $5.000 per hour</v>
      </c>
      <c r="Y92" s="286" t="s">
        <v>263</v>
      </c>
      <c r="Z92" s="279" t="s">
        <v>577</v>
      </c>
      <c r="AC92" s="322">
        <v>5</v>
      </c>
    </row>
    <row r="93" spans="1:29">
      <c r="A93" s="221" t="s">
        <v>578</v>
      </c>
      <c r="O93" s="532" t="s">
        <v>578</v>
      </c>
    </row>
    <row r="94" spans="1:29">
      <c r="A94" s="384"/>
      <c r="O94" s="552"/>
      <c r="AC94" s="322"/>
    </row>
    <row r="95" spans="1:29">
      <c r="A95" s="398" t="s">
        <v>579</v>
      </c>
      <c r="O95" s="554" t="s">
        <v>579</v>
      </c>
      <c r="AC95" s="322"/>
    </row>
    <row r="96" spans="1:29">
      <c r="A96" s="627" t="s">
        <v>351</v>
      </c>
      <c r="O96" s="555" t="s">
        <v>351</v>
      </c>
      <c r="AC96" s="322"/>
    </row>
    <row r="97" spans="1:29">
      <c r="A97" s="627" t="str">
        <f>"premium of "&amp;TEXT(AC97,"$0.000")&amp;" per hour for all hours spent training shall be paid.  The employer will establish strict assignment protocol."</f>
        <v>premium of $3.657 per hour for all hours spent training shall be paid.  The employer will establish strict assignment protocol.</v>
      </c>
      <c r="O97" s="555" t="str">
        <f>"premium of "&amp;TEXT(AC97,"$0.000")&amp;" per hour for all hours spent training shall be paid.  The employer will establish strict assignment protocol."</f>
        <v>premium of $3.657 per hour for all hours spent training shall be paid.  The employer will establish strict assignment protocol.</v>
      </c>
      <c r="Y97" s="286" t="s">
        <v>445</v>
      </c>
      <c r="Z97" s="279" t="s">
        <v>394</v>
      </c>
      <c r="AC97" s="322">
        <v>3.657</v>
      </c>
    </row>
    <row r="98" spans="1:29">
      <c r="A98" s="627"/>
      <c r="O98" s="555"/>
      <c r="AC98" s="322"/>
    </row>
    <row r="99" spans="1:29">
      <c r="A99" s="398" t="s">
        <v>246</v>
      </c>
      <c r="O99" s="554" t="s">
        <v>246</v>
      </c>
      <c r="AC99" s="322"/>
    </row>
    <row r="100" spans="1:29">
      <c r="A100" s="628" t="s">
        <v>450</v>
      </c>
      <c r="O100" s="556" t="s">
        <v>450</v>
      </c>
      <c r="AC100" s="322"/>
    </row>
    <row r="101" spans="1:29">
      <c r="A101" s="400" t="str">
        <f>"shall receive a premium of "&amp;TEXT(AC101,"$0.000")&amp;" per hour for all hours worked performing Bio-Hazard Clean-up duties. "</f>
        <v xml:space="preserve">shall receive a premium of $0.931 per hour for all hours worked performing Bio-Hazard Clean-up duties. </v>
      </c>
      <c r="O101" s="557" t="str">
        <f>"shall receive a premium of "&amp;TEXT(AC101,"$0.000")&amp;" per hour for all hours worked performing Bio-Hazard Clean-up duties. "</f>
        <v xml:space="preserve">shall receive a premium of $0.931 per hour for all hours worked performing Bio-Hazard Clean-up duties. </v>
      </c>
      <c r="Y101" s="286" t="s">
        <v>445</v>
      </c>
      <c r="Z101" s="279" t="s">
        <v>398</v>
      </c>
      <c r="AC101" s="322">
        <v>0.93100000000000005</v>
      </c>
    </row>
    <row r="103" spans="1:29">
      <c r="O103" s="540"/>
    </row>
    <row r="104" spans="1:29" ht="30">
      <c r="A104" s="389" t="s">
        <v>580</v>
      </c>
      <c r="I104" s="381" t="s">
        <v>581</v>
      </c>
      <c r="J104" s="381" t="s">
        <v>582</v>
      </c>
      <c r="O104" s="540" t="s">
        <v>580</v>
      </c>
      <c r="S104" s="535" t="s">
        <v>581</v>
      </c>
      <c r="T104" s="535" t="s">
        <v>582</v>
      </c>
    </row>
    <row r="105" spans="1:29">
      <c r="A105" s="392" t="s">
        <v>191</v>
      </c>
      <c r="I105" s="269">
        <f>S105</f>
        <v>0.54200000000000004</v>
      </c>
      <c r="O105" s="551" t="s">
        <v>191</v>
      </c>
      <c r="S105" s="436">
        <f>AC105</f>
        <v>0.54200000000000004</v>
      </c>
      <c r="Y105" s="286" t="s">
        <v>445</v>
      </c>
      <c r="Z105" s="509" t="s">
        <v>403</v>
      </c>
      <c r="AC105" s="322">
        <v>0.54200000000000004</v>
      </c>
    </row>
    <row r="106" spans="1:29">
      <c r="A106" s="392" t="s">
        <v>355</v>
      </c>
      <c r="I106" s="269">
        <f t="shared" ref="I106:J111" si="91">S106</f>
        <v>0.79800000000000004</v>
      </c>
      <c r="J106" s="269">
        <f t="shared" si="91"/>
        <v>1.516</v>
      </c>
      <c r="O106" s="551" t="s">
        <v>355</v>
      </c>
      <c r="S106" s="436">
        <f>AC106</f>
        <v>0.79800000000000004</v>
      </c>
      <c r="T106" s="436">
        <f>AC107</f>
        <v>1.516</v>
      </c>
      <c r="Y106" s="286" t="s">
        <v>445</v>
      </c>
      <c r="Z106" s="509" t="s">
        <v>405</v>
      </c>
      <c r="AC106" s="322">
        <v>0.79800000000000004</v>
      </c>
    </row>
    <row r="107" spans="1:29">
      <c r="A107" s="392" t="s">
        <v>193</v>
      </c>
      <c r="I107" s="269" t="str">
        <f t="shared" si="91"/>
        <v>NA</v>
      </c>
      <c r="J107" s="269">
        <f t="shared" si="91"/>
        <v>1.3</v>
      </c>
      <c r="O107" s="551" t="s">
        <v>193</v>
      </c>
      <c r="S107" s="526" t="s">
        <v>561</v>
      </c>
      <c r="T107" s="436">
        <f>AC108</f>
        <v>1.3</v>
      </c>
      <c r="Y107" s="286" t="s">
        <v>445</v>
      </c>
      <c r="Z107" s="509" t="s">
        <v>407</v>
      </c>
      <c r="AC107" s="322">
        <v>1.516</v>
      </c>
    </row>
    <row r="108" spans="1:29">
      <c r="A108" s="392" t="s">
        <v>195</v>
      </c>
      <c r="I108" s="269">
        <f t="shared" si="91"/>
        <v>2.2349999999999999</v>
      </c>
      <c r="O108" s="551" t="s">
        <v>195</v>
      </c>
      <c r="S108" s="436">
        <f>AC109</f>
        <v>2.2349999999999999</v>
      </c>
      <c r="Y108" s="286" t="s">
        <v>445</v>
      </c>
      <c r="Z108" s="509" t="s">
        <v>409</v>
      </c>
      <c r="AC108" s="322">
        <v>1.3</v>
      </c>
    </row>
    <row r="109" spans="1:29">
      <c r="A109" s="392" t="s">
        <v>196</v>
      </c>
      <c r="I109" s="269">
        <f t="shared" si="91"/>
        <v>1.9950000000000001</v>
      </c>
      <c r="O109" s="551" t="s">
        <v>196</v>
      </c>
      <c r="S109" s="436">
        <f>AC110</f>
        <v>1.9950000000000001</v>
      </c>
      <c r="Y109" s="286" t="s">
        <v>445</v>
      </c>
      <c r="Z109" s="509" t="s">
        <v>411</v>
      </c>
      <c r="AC109" s="322">
        <v>2.2349999999999999</v>
      </c>
    </row>
    <row r="110" spans="1:29">
      <c r="A110" s="392" t="s">
        <v>197</v>
      </c>
      <c r="I110" s="269">
        <f t="shared" si="91"/>
        <v>0.79800000000000004</v>
      </c>
      <c r="O110" s="551" t="s">
        <v>197</v>
      </c>
      <c r="S110" s="436">
        <f>AC111</f>
        <v>0.79800000000000004</v>
      </c>
      <c r="Y110" s="286" t="s">
        <v>445</v>
      </c>
      <c r="Z110" s="509" t="s">
        <v>413</v>
      </c>
      <c r="AC110" s="322">
        <v>1.9950000000000001</v>
      </c>
    </row>
    <row r="111" spans="1:29">
      <c r="A111" s="392" t="s">
        <v>583</v>
      </c>
      <c r="I111" s="269">
        <f t="shared" si="91"/>
        <v>1.0449999999999999</v>
      </c>
      <c r="O111" s="551" t="s">
        <v>583</v>
      </c>
      <c r="S111" s="436">
        <f>AC112</f>
        <v>1.0449999999999999</v>
      </c>
      <c r="Y111" s="286" t="s">
        <v>445</v>
      </c>
      <c r="Z111" s="279" t="s">
        <v>415</v>
      </c>
      <c r="AC111" s="322">
        <v>0.79800000000000004</v>
      </c>
    </row>
    <row r="112" spans="1:29">
      <c r="Y112" s="286" t="s">
        <v>445</v>
      </c>
      <c r="Z112" s="279" t="s">
        <v>584</v>
      </c>
      <c r="AA112" s="279" t="s">
        <v>585</v>
      </c>
      <c r="AC112" s="322">
        <v>1.0449999999999999</v>
      </c>
    </row>
    <row r="113" spans="1:15">
      <c r="A113" s="389" t="s">
        <v>198</v>
      </c>
      <c r="O113" s="541" t="s">
        <v>198</v>
      </c>
    </row>
    <row r="114" spans="1:15">
      <c r="A114" s="488" t="s">
        <v>586</v>
      </c>
      <c r="O114" s="558" t="s">
        <v>199</v>
      </c>
    </row>
    <row r="115" spans="1:15">
      <c r="A115" s="488" t="s">
        <v>587</v>
      </c>
      <c r="O115" s="558" t="s">
        <v>200</v>
      </c>
    </row>
    <row r="116" spans="1:15">
      <c r="A116" s="488" t="s">
        <v>588</v>
      </c>
      <c r="O116" s="558" t="s">
        <v>201</v>
      </c>
    </row>
    <row r="117" spans="1:15">
      <c r="A117" s="488" t="s">
        <v>589</v>
      </c>
      <c r="O117" s="558" t="s">
        <v>202</v>
      </c>
    </row>
    <row r="118" spans="1:15">
      <c r="A118" s="488" t="s">
        <v>590</v>
      </c>
      <c r="O118" s="558" t="s">
        <v>203</v>
      </c>
    </row>
    <row r="119" spans="1:15">
      <c r="A119" s="488" t="s">
        <v>591</v>
      </c>
      <c r="O119" s="558" t="s">
        <v>204</v>
      </c>
    </row>
    <row r="120" spans="1:15">
      <c r="A120" s="488" t="s">
        <v>592</v>
      </c>
      <c r="O120" s="558" t="s">
        <v>205</v>
      </c>
    </row>
    <row r="121" spans="1:15">
      <c r="A121" s="488" t="s">
        <v>593</v>
      </c>
      <c r="O121" s="558" t="s">
        <v>206</v>
      </c>
    </row>
    <row r="122" spans="1:15">
      <c r="A122" s="477" t="s">
        <v>594</v>
      </c>
      <c r="O122" s="548" t="s">
        <v>207</v>
      </c>
    </row>
    <row r="123" spans="1:15">
      <c r="A123" s="477" t="s">
        <v>595</v>
      </c>
      <c r="O123" s="548" t="s">
        <v>208</v>
      </c>
    </row>
    <row r="124" spans="1:15">
      <c r="A124" s="477" t="s">
        <v>596</v>
      </c>
      <c r="O124" s="548" t="s">
        <v>209</v>
      </c>
    </row>
    <row r="125" spans="1:15">
      <c r="A125" s="488" t="s">
        <v>597</v>
      </c>
      <c r="O125" s="558" t="s">
        <v>210</v>
      </c>
    </row>
    <row r="126" spans="1:15">
      <c r="A126" s="488" t="s">
        <v>598</v>
      </c>
      <c r="O126" s="558" t="s">
        <v>211</v>
      </c>
    </row>
    <row r="127" spans="1:15">
      <c r="A127" s="488" t="s">
        <v>599</v>
      </c>
      <c r="O127" s="558" t="s">
        <v>212</v>
      </c>
    </row>
    <row r="128" spans="1:15">
      <c r="A128" s="489" t="s">
        <v>600</v>
      </c>
      <c r="O128" s="559" t="s">
        <v>213</v>
      </c>
    </row>
    <row r="129" spans="1:29">
      <c r="A129" s="489" t="s">
        <v>601</v>
      </c>
      <c r="O129" s="559" t="s">
        <v>356</v>
      </c>
    </row>
    <row r="130" spans="1:29">
      <c r="A130" s="489" t="s">
        <v>215</v>
      </c>
      <c r="O130" s="559" t="s">
        <v>215</v>
      </c>
    </row>
    <row r="131" spans="1:29">
      <c r="A131" s="488" t="s">
        <v>602</v>
      </c>
      <c r="O131" s="558" t="s">
        <v>216</v>
      </c>
    </row>
    <row r="132" spans="1:29">
      <c r="A132" s="384" t="s">
        <v>603</v>
      </c>
      <c r="O132" s="558" t="s">
        <v>604</v>
      </c>
    </row>
    <row r="133" spans="1:29">
      <c r="A133" s="384" t="s">
        <v>605</v>
      </c>
      <c r="O133" s="558" t="s">
        <v>606</v>
      </c>
    </row>
    <row r="135" spans="1:29">
      <c r="A135" s="448" t="s">
        <v>217</v>
      </c>
      <c r="B135" s="389"/>
      <c r="C135" s="502"/>
      <c r="D135" s="502"/>
      <c r="E135" s="502"/>
      <c r="F135" s="502"/>
      <c r="G135" s="451"/>
      <c r="H135" s="454"/>
      <c r="I135" s="454"/>
      <c r="O135" s="560" t="s">
        <v>217</v>
      </c>
      <c r="P135" s="540"/>
      <c r="Q135" s="542"/>
      <c r="R135" s="561"/>
      <c r="S135" s="561"/>
    </row>
    <row r="136" spans="1:29">
      <c r="A136" s="384" t="s">
        <v>357</v>
      </c>
      <c r="B136" s="384"/>
      <c r="C136" s="503"/>
      <c r="D136" s="503"/>
      <c r="E136" s="503"/>
      <c r="F136" s="503"/>
      <c r="G136" s="451"/>
      <c r="H136" s="454"/>
      <c r="I136" s="454"/>
      <c r="O136" s="558" t="s">
        <v>357</v>
      </c>
      <c r="P136" s="558"/>
      <c r="Q136" s="562"/>
      <c r="R136" s="561"/>
      <c r="S136" s="561"/>
      <c r="Z136" s="510" t="s">
        <v>417</v>
      </c>
      <c r="AC136" s="511"/>
    </row>
    <row r="137" spans="1:29">
      <c r="A137" s="408">
        <f>O137</f>
        <v>0.28799999999999998</v>
      </c>
      <c r="B137" s="400" t="s">
        <v>220</v>
      </c>
      <c r="C137" s="451"/>
      <c r="D137" s="451"/>
      <c r="E137" s="451"/>
      <c r="F137" s="451"/>
      <c r="H137" s="454"/>
      <c r="O137" s="563">
        <f>AC137</f>
        <v>0.28799999999999998</v>
      </c>
      <c r="P137" s="557" t="s">
        <v>220</v>
      </c>
      <c r="Q137" s="561"/>
      <c r="R137" s="561"/>
      <c r="Y137" s="512" t="s">
        <v>445</v>
      </c>
      <c r="Z137" s="509" t="s">
        <v>418</v>
      </c>
      <c r="AC137" s="322">
        <v>0.28799999999999998</v>
      </c>
    </row>
    <row r="138" spans="1:29">
      <c r="A138" s="408">
        <f t="shared" ref="A138:A140" si="92">O138</f>
        <v>0.47899999999999998</v>
      </c>
      <c r="B138" s="400" t="s">
        <v>221</v>
      </c>
      <c r="C138" s="451"/>
      <c r="D138" s="451"/>
      <c r="E138" s="451"/>
      <c r="F138" s="451"/>
      <c r="H138" s="394"/>
      <c r="O138" s="563">
        <f>AC138</f>
        <v>0.47899999999999998</v>
      </c>
      <c r="P138" s="557" t="s">
        <v>221</v>
      </c>
      <c r="Q138" s="561"/>
      <c r="R138" s="543"/>
      <c r="Y138" s="512" t="s">
        <v>445</v>
      </c>
      <c r="Z138" s="509" t="s">
        <v>419</v>
      </c>
      <c r="AC138" s="322">
        <v>0.47899999999999998</v>
      </c>
    </row>
    <row r="139" spans="1:29">
      <c r="A139" s="408">
        <f t="shared" si="92"/>
        <v>0.57699999999999996</v>
      </c>
      <c r="B139" s="400" t="s">
        <v>222</v>
      </c>
      <c r="C139" s="451"/>
      <c r="D139" s="451"/>
      <c r="E139" s="451"/>
      <c r="F139" s="451"/>
      <c r="H139" s="618"/>
      <c r="O139" s="563">
        <f>AC139</f>
        <v>0.57699999999999996</v>
      </c>
      <c r="P139" s="557" t="s">
        <v>222</v>
      </c>
      <c r="Q139" s="561"/>
      <c r="R139" s="564"/>
      <c r="Y139" s="512" t="s">
        <v>445</v>
      </c>
      <c r="Z139" s="509" t="s">
        <v>420</v>
      </c>
      <c r="AC139" s="322">
        <v>0.57699999999999996</v>
      </c>
    </row>
    <row r="140" spans="1:29">
      <c r="A140" s="408">
        <f t="shared" si="92"/>
        <v>0.75700000000000001</v>
      </c>
      <c r="B140" s="400" t="s">
        <v>223</v>
      </c>
      <c r="C140" s="451"/>
      <c r="D140" s="451"/>
      <c r="E140" s="451"/>
      <c r="F140" s="451"/>
      <c r="H140" s="394"/>
      <c r="O140" s="563">
        <f>AC140</f>
        <v>0.75700000000000001</v>
      </c>
      <c r="P140" s="557" t="s">
        <v>223</v>
      </c>
      <c r="Q140" s="561"/>
      <c r="R140" s="543"/>
      <c r="Y140" s="512" t="s">
        <v>445</v>
      </c>
      <c r="Z140" s="509" t="s">
        <v>421</v>
      </c>
      <c r="AC140" s="322">
        <v>0.75700000000000001</v>
      </c>
    </row>
    <row r="142" spans="1:29">
      <c r="A142" s="448" t="s">
        <v>224</v>
      </c>
      <c r="B142" s="389"/>
      <c r="C142" s="502"/>
      <c r="D142" s="502"/>
      <c r="E142" s="502"/>
      <c r="F142" s="502"/>
      <c r="G142" s="453"/>
      <c r="H142" s="619"/>
      <c r="I142" s="394"/>
      <c r="O142" s="560" t="s">
        <v>224</v>
      </c>
      <c r="P142" s="540"/>
      <c r="Q142" s="542"/>
      <c r="R142" s="565"/>
      <c r="S142" s="543"/>
    </row>
    <row r="143" spans="1:29">
      <c r="A143" s="384" t="s">
        <v>607</v>
      </c>
      <c r="B143" s="384"/>
      <c r="C143" s="503"/>
      <c r="D143" s="503"/>
      <c r="E143" s="503"/>
      <c r="F143" s="503"/>
      <c r="G143" s="452"/>
      <c r="H143" s="618"/>
      <c r="O143" s="558" t="s">
        <v>607</v>
      </c>
      <c r="P143" s="558"/>
      <c r="Q143" s="562"/>
      <c r="R143" s="564"/>
    </row>
    <row r="144" spans="1:29">
      <c r="A144" s="387" t="str">
        <f>"The employer shall pay a Shift Differential equal to  "&amp;TEXT(AC144,"$0.000")&amp;" per hour for all work shifts that have a "</f>
        <v xml:space="preserve">The employer shall pay a Shift Differential equal to  $1.612 per hour for all work shifts that have a </v>
      </c>
      <c r="B144" s="384"/>
      <c r="C144" s="503"/>
      <c r="D144" s="503"/>
      <c r="E144" s="503"/>
      <c r="F144" s="503"/>
      <c r="G144" s="452"/>
      <c r="H144" s="618"/>
      <c r="I144" s="394"/>
      <c r="O144" s="545" t="str">
        <f>"The employer shall pay a Shift Differential equal to  "&amp;TEXT(AC144,"$0.000")&amp;" per hour for all work shifts that have a "</f>
        <v xml:space="preserve">The employer shall pay a Shift Differential equal to  $1.612 per hour for all work shifts that have a </v>
      </c>
      <c r="P144" s="558"/>
      <c r="Q144" s="562"/>
      <c r="R144" s="564"/>
      <c r="S144" s="543"/>
      <c r="Y144" s="286" t="s">
        <v>445</v>
      </c>
      <c r="Z144" s="279" t="s">
        <v>423</v>
      </c>
      <c r="AC144" s="322">
        <v>1.6120000000000001</v>
      </c>
    </row>
    <row r="145" spans="1:29">
      <c r="A145" s="384" t="s">
        <v>359</v>
      </c>
      <c r="B145" s="384"/>
      <c r="C145" s="503"/>
      <c r="D145" s="503"/>
      <c r="E145" s="503"/>
      <c r="F145" s="503"/>
      <c r="G145" s="453"/>
      <c r="H145" s="619"/>
      <c r="I145" s="394"/>
      <c r="O145" s="558" t="s">
        <v>359</v>
      </c>
      <c r="P145" s="558"/>
      <c r="Q145" s="562"/>
      <c r="R145" s="565"/>
      <c r="S145" s="543"/>
      <c r="Y145" s="286" t="s">
        <v>445</v>
      </c>
      <c r="Z145" s="279" t="s">
        <v>425</v>
      </c>
      <c r="AC145" s="322">
        <v>1.6120000000000001</v>
      </c>
    </row>
    <row r="146" spans="1:29">
      <c r="A146" s="384" t="s">
        <v>227</v>
      </c>
      <c r="B146" s="384"/>
      <c r="C146" s="503"/>
      <c r="D146" s="503"/>
      <c r="E146" s="503"/>
      <c r="F146" s="503"/>
      <c r="G146" s="388"/>
      <c r="H146" s="394"/>
      <c r="I146" s="394"/>
      <c r="O146" s="558" t="s">
        <v>227</v>
      </c>
      <c r="P146" s="558"/>
      <c r="Q146" s="562"/>
      <c r="R146" s="543"/>
      <c r="S146" s="543"/>
      <c r="Y146" s="286" t="s">
        <v>445</v>
      </c>
      <c r="Z146" s="279" t="s">
        <v>427</v>
      </c>
      <c r="AC146" s="322">
        <v>1.6120000000000001</v>
      </c>
    </row>
    <row r="147" spans="1:29">
      <c r="A147" s="384" t="s">
        <v>228</v>
      </c>
      <c r="B147" s="384"/>
      <c r="C147" s="503"/>
      <c r="D147" s="503"/>
      <c r="E147" s="503"/>
      <c r="F147" s="503"/>
      <c r="G147" s="388"/>
      <c r="H147" s="394"/>
      <c r="I147" s="394"/>
      <c r="O147" s="558" t="s">
        <v>228</v>
      </c>
      <c r="P147" s="558"/>
      <c r="Q147" s="562"/>
      <c r="R147" s="543"/>
      <c r="S147" s="543"/>
      <c r="AC147" s="322"/>
    </row>
    <row r="148" spans="1:29">
      <c r="A148" s="412" t="s">
        <v>533</v>
      </c>
      <c r="B148" s="412"/>
      <c r="C148" s="636"/>
      <c r="D148" s="636"/>
      <c r="E148" s="636"/>
      <c r="F148" s="636"/>
      <c r="G148" s="394"/>
      <c r="H148" s="394"/>
      <c r="I148" s="454"/>
      <c r="O148" s="558" t="str">
        <f>A148</f>
        <v>Water Treatment Operators and Senior Water Treatment Operators are excluded from this shift differential provision. (see next)</v>
      </c>
      <c r="P148" s="558"/>
      <c r="Q148" s="562"/>
      <c r="R148" s="543"/>
      <c r="S148" s="561"/>
      <c r="AC148" s="322"/>
    </row>
    <row r="149" spans="1:29">
      <c r="AC149" s="322"/>
    </row>
    <row r="150" spans="1:29">
      <c r="A150" s="629" t="s">
        <v>534</v>
      </c>
      <c r="O150" s="566" t="s">
        <v>534</v>
      </c>
      <c r="AC150" s="322"/>
    </row>
    <row r="151" spans="1:29">
      <c r="A151" s="629" t="s">
        <v>535</v>
      </c>
      <c r="O151" s="566" t="s">
        <v>535</v>
      </c>
      <c r="AC151" s="322"/>
    </row>
    <row r="152" spans="1:29">
      <c r="A152" s="420" t="str">
        <f xml:space="preserve"> "The Employer shall pay an Evening Shift Differential equal to  "&amp;TEXT(AC152,"$0.000")&amp;" per hour for all Water Treatment Operator and Senior Water Treatment Operator"</f>
        <v>The Employer shall pay an Evening Shift Differential equal to  $1.612 per hour for all Water Treatment Operator and Senior Water Treatment Operator</v>
      </c>
      <c r="O152" s="567" t="str">
        <f xml:space="preserve"> "The Employer shall pay an Evening Shift Differential equal to  "&amp;TEXT(AC152,"$0.000")&amp;" per hour for all Water Treatment Operator and Senior Water Treatment Operator"</f>
        <v>The Employer shall pay an Evening Shift Differential equal to  $1.612 per hour for all Water Treatment Operator and Senior Water Treatment Operator</v>
      </c>
      <c r="Y152" s="286" t="s">
        <v>445</v>
      </c>
      <c r="Z152" s="279" t="s">
        <v>536</v>
      </c>
      <c r="AC152" s="322">
        <v>1.6120000000000001</v>
      </c>
    </row>
    <row r="153" spans="1:29">
      <c r="A153" s="420" t="s">
        <v>537</v>
      </c>
      <c r="O153" s="567" t="s">
        <v>537</v>
      </c>
      <c r="AC153" s="322"/>
    </row>
    <row r="154" spans="1:29">
      <c r="A154" s="420" t="s">
        <v>538</v>
      </c>
      <c r="O154" s="567" t="s">
        <v>538</v>
      </c>
      <c r="AC154" s="322"/>
    </row>
    <row r="155" spans="1:29">
      <c r="A155" s="629" t="s">
        <v>539</v>
      </c>
      <c r="O155" s="566" t="s">
        <v>539</v>
      </c>
      <c r="AC155" s="322"/>
    </row>
    <row r="156" spans="1:29">
      <c r="A156" s="420" t="str">
        <f>"The Employer shall pay a Weekend Shift Differential equal to "&amp;TEXT(AC156,"$0.000")&amp;" per hour for all Water Treatment Operator and Senior Water Treatment Operator"</f>
        <v>The Employer shall pay a Weekend Shift Differential equal to $2.195 per hour for all Water Treatment Operator and Senior Water Treatment Operator</v>
      </c>
      <c r="O156" s="567" t="str">
        <f>"The Employer shall pay a Weekend Shift Differential equal to "&amp;TEXT(AC156,"$0.000")&amp;" per hour for all Water Treatment Operator and Senior Water Treatment Operator"</f>
        <v>The Employer shall pay a Weekend Shift Differential equal to $2.195 per hour for all Water Treatment Operator and Senior Water Treatment Operator</v>
      </c>
      <c r="Y156" s="286" t="s">
        <v>445</v>
      </c>
      <c r="Z156" s="279" t="s">
        <v>530</v>
      </c>
      <c r="AC156" s="322">
        <v>2.1949999999999998</v>
      </c>
    </row>
    <row r="157" spans="1:29">
      <c r="A157" s="420" t="s">
        <v>541</v>
      </c>
      <c r="O157" s="567" t="s">
        <v>541</v>
      </c>
    </row>
    <row r="158" spans="1:29">
      <c r="A158" s="420" t="s">
        <v>542</v>
      </c>
      <c r="O158" s="567" t="s">
        <v>542</v>
      </c>
    </row>
    <row r="159" spans="1:29">
      <c r="A159"/>
    </row>
    <row r="160" spans="1:29">
      <c r="A160" s="625" t="s">
        <v>456</v>
      </c>
      <c r="B160" s="625"/>
      <c r="C160" s="638"/>
      <c r="D160" s="638"/>
      <c r="E160" s="413"/>
      <c r="F160" s="639"/>
      <c r="O160" s="540" t="s">
        <v>456</v>
      </c>
      <c r="P160" s="540"/>
      <c r="Q160" s="630"/>
      <c r="R160" s="630"/>
      <c r="S160" s="557"/>
      <c r="T160" s="631"/>
    </row>
    <row r="161" spans="1:35">
      <c r="A161" s="412" t="s">
        <v>181</v>
      </c>
      <c r="B161" s="412"/>
      <c r="C161" s="638"/>
      <c r="D161" s="638"/>
      <c r="E161" s="413"/>
      <c r="F161" s="639"/>
      <c r="O161" s="558" t="s">
        <v>181</v>
      </c>
      <c r="P161" s="558"/>
      <c r="Q161" s="630"/>
      <c r="R161" s="630"/>
      <c r="S161" s="557"/>
      <c r="T161" s="631"/>
    </row>
    <row r="162" spans="1:35">
      <c r="A162" s="640" t="s">
        <v>182</v>
      </c>
      <c r="B162" s="641" t="s">
        <v>183</v>
      </c>
      <c r="C162" s="642"/>
      <c r="D162" s="159"/>
      <c r="E162" s="159"/>
      <c r="F162" s="159"/>
      <c r="O162" s="634" t="s">
        <v>182</v>
      </c>
      <c r="P162" s="632" t="s">
        <v>183</v>
      </c>
      <c r="Q162" s="633"/>
      <c r="R162" s="527"/>
      <c r="S162" s="527"/>
      <c r="T162" s="527"/>
    </row>
    <row r="163" spans="1:35">
      <c r="A163" s="394" t="s">
        <v>154</v>
      </c>
      <c r="B163" s="394" t="s">
        <v>184</v>
      </c>
      <c r="C163" s="642"/>
      <c r="D163" s="159"/>
      <c r="E163" s="159"/>
      <c r="F163" s="159"/>
      <c r="O163" s="543" t="s">
        <v>154</v>
      </c>
      <c r="P163" s="543" t="s">
        <v>184</v>
      </c>
      <c r="Q163" s="633"/>
      <c r="R163" s="527"/>
      <c r="S163" s="527"/>
      <c r="T163" s="527"/>
    </row>
    <row r="164" spans="1:35">
      <c r="A164" s="394" t="s">
        <v>156</v>
      </c>
      <c r="B164" s="394" t="s">
        <v>185</v>
      </c>
      <c r="C164" s="642"/>
      <c r="D164" s="159"/>
      <c r="E164" s="159"/>
      <c r="F164" s="159"/>
      <c r="O164" s="543" t="s">
        <v>156</v>
      </c>
      <c r="P164" s="543" t="s">
        <v>185</v>
      </c>
      <c r="Q164" s="633"/>
      <c r="R164" s="527"/>
      <c r="S164" s="527"/>
      <c r="T164" s="527"/>
    </row>
    <row r="165" spans="1:35">
      <c r="A165" s="394" t="s">
        <v>158</v>
      </c>
      <c r="B165" s="394" t="s">
        <v>186</v>
      </c>
      <c r="C165" s="642"/>
      <c r="D165" s="159"/>
      <c r="E165" s="159"/>
      <c r="F165" s="159"/>
      <c r="O165" s="543" t="s">
        <v>158</v>
      </c>
      <c r="P165" s="543" t="s">
        <v>186</v>
      </c>
      <c r="Q165" s="633"/>
      <c r="R165" s="527"/>
      <c r="S165" s="527"/>
      <c r="T165" s="527"/>
    </row>
    <row r="166" spans="1:35" customFormat="1">
      <c r="H166" s="637"/>
      <c r="I166" s="637"/>
      <c r="J166" s="637"/>
      <c r="K166" s="637"/>
      <c r="L166" s="637"/>
      <c r="M166" s="637"/>
      <c r="N166" s="637"/>
      <c r="O166" s="568"/>
      <c r="P166" s="524"/>
      <c r="Q166" s="525"/>
      <c r="R166" s="526"/>
      <c r="S166" s="526"/>
      <c r="T166" s="526"/>
      <c r="U166" s="526"/>
      <c r="V166" s="526"/>
      <c r="W166" s="526"/>
      <c r="X166" s="527"/>
      <c r="Y166" s="286"/>
      <c r="Z166" s="279"/>
      <c r="AA166" s="279"/>
      <c r="AB166" s="279"/>
      <c r="AC166" s="279"/>
      <c r="AD166" s="279"/>
      <c r="AE166" s="279"/>
      <c r="AF166" s="279"/>
      <c r="AG166" s="279"/>
      <c r="AH166" s="279"/>
      <c r="AI166" s="279"/>
    </row>
    <row r="167" spans="1:35" customFormat="1">
      <c r="A167" s="445" t="s">
        <v>364</v>
      </c>
      <c r="B167" s="637"/>
      <c r="C167" s="637"/>
      <c r="D167" s="637"/>
      <c r="E167" s="637"/>
      <c r="F167" s="637"/>
      <c r="H167" s="637"/>
      <c r="I167" s="637"/>
      <c r="J167" s="637"/>
      <c r="K167" s="637"/>
      <c r="L167" s="637"/>
      <c r="M167" s="637"/>
      <c r="N167" s="637"/>
      <c r="O167" s="568" t="s">
        <v>364</v>
      </c>
      <c r="P167" s="524"/>
      <c r="Q167" s="525"/>
      <c r="R167" s="526"/>
      <c r="S167" s="526"/>
      <c r="T167" s="635"/>
      <c r="U167" s="635"/>
      <c r="V167" s="635"/>
      <c r="W167" s="635"/>
      <c r="X167" s="635"/>
      <c r="Y167" s="288"/>
      <c r="Z167" s="288"/>
      <c r="AA167" s="288"/>
      <c r="AB167" s="288"/>
      <c r="AC167" s="288"/>
      <c r="AD167" s="288"/>
      <c r="AE167" s="288"/>
      <c r="AF167" s="288"/>
      <c r="AG167" s="288"/>
      <c r="AH167" s="288"/>
      <c r="AI167" s="288"/>
    </row>
    <row r="168" spans="1:35">
      <c r="A168" s="446" t="s">
        <v>608</v>
      </c>
      <c r="B168" s="446"/>
      <c r="O168" s="569" t="s">
        <v>608</v>
      </c>
      <c r="P168" s="569"/>
      <c r="Y168" s="288"/>
      <c r="Z168" s="288"/>
      <c r="AA168" s="288"/>
      <c r="AB168" s="288"/>
      <c r="AC168" s="288"/>
      <c r="AD168" s="288"/>
      <c r="AE168" s="288"/>
      <c r="AF168" s="288"/>
      <c r="AG168" s="288"/>
      <c r="AH168" s="288"/>
      <c r="AI168" s="288"/>
    </row>
    <row r="169" spans="1:35">
      <c r="A169" s="393" t="s">
        <v>609</v>
      </c>
      <c r="B169" s="392"/>
      <c r="O169" s="551" t="s">
        <v>609</v>
      </c>
      <c r="P169" s="551"/>
    </row>
    <row r="170" spans="1:35">
      <c r="A170" s="446" t="s">
        <v>610</v>
      </c>
      <c r="B170" s="446"/>
      <c r="O170" s="569" t="s">
        <v>610</v>
      </c>
      <c r="P170" s="569"/>
    </row>
    <row r="171" spans="1:35">
      <c r="A171" s="446" t="s">
        <v>611</v>
      </c>
      <c r="B171" s="446"/>
      <c r="O171" s="569" t="s">
        <v>611</v>
      </c>
      <c r="P171" s="569"/>
    </row>
    <row r="172" spans="1:35">
      <c r="A172" s="446" t="s">
        <v>612</v>
      </c>
      <c r="B172" s="446"/>
      <c r="O172" s="569" t="s">
        <v>612</v>
      </c>
      <c r="P172" s="569"/>
    </row>
    <row r="173" spans="1:35">
      <c r="A173" s="393" t="s">
        <v>613</v>
      </c>
      <c r="B173" s="392"/>
      <c r="O173" s="551" t="s">
        <v>613</v>
      </c>
      <c r="P173" s="551"/>
    </row>
    <row r="177" spans="1:8">
      <c r="A177" s="221" t="s">
        <v>614</v>
      </c>
      <c r="H177" s="162" t="s">
        <v>615</v>
      </c>
    </row>
  </sheetData>
  <sheetProtection sheet="1" objects="1" scenarios="1" autoFilter="0"/>
  <autoFilter ref="A10:AK58" xr:uid="{036305F6-6E9B-44E3-86EA-381443800B26}"/>
  <phoneticPr fontId="10" type="noConversion"/>
  <pageMargins left="0.25" right="0.25" top="0.75" bottom="0.5" header="0.3" footer="0.3"/>
  <pageSetup scale="82" fitToHeight="0" orientation="landscape" r:id="rId1"/>
  <headerFooter alignWithMargins="0">
    <oddHeader>&amp;C&amp;"-,Bold"&amp;12City of Minneapolis Last, Best &amp; Final Offer for #363&amp;"Arial,Regular"&amp;10
&amp;"-,Italic"February 22, 2024</oddHeader>
    <oddFooter>&amp;R&amp;"-,Regular"&amp;P</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CB606-5039-4674-B113-D0EDD8109E27}">
  <sheetPr codeName="Sheet14">
    <tabColor theme="7" tint="0.59999389629810485"/>
    <pageSetUpPr fitToPage="1"/>
  </sheetPr>
  <dimension ref="A1:AI177"/>
  <sheetViews>
    <sheetView showGridLines="0" topLeftCell="A143" zoomScaleNormal="100" workbookViewId="0">
      <selection activeCell="N177" sqref="N177"/>
    </sheetView>
  </sheetViews>
  <sheetFormatPr defaultColWidth="9.140625" defaultRowHeight="15"/>
  <cols>
    <col min="1" max="1" width="18.140625" style="222" customWidth="1"/>
    <col min="2" max="2" width="58.85546875" style="221" bestFit="1" customWidth="1"/>
    <col min="3" max="3" width="9.28515625" style="159" customWidth="1"/>
    <col min="4" max="4" width="8.42578125" style="159" customWidth="1"/>
    <col min="5" max="5" width="12.140625" style="159" bestFit="1" customWidth="1"/>
    <col min="6" max="6" width="18.85546875" style="159" customWidth="1"/>
    <col min="7" max="7" width="12.140625" style="159" bestFit="1" customWidth="1"/>
    <col min="8" max="8" width="16.85546875" style="162" bestFit="1" customWidth="1"/>
    <col min="9" max="9" width="11" style="162" bestFit="1" customWidth="1"/>
    <col min="10" max="10" width="11" style="162" customWidth="1"/>
    <col min="11" max="11" width="7.5703125" style="162" bestFit="1" customWidth="1"/>
    <col min="12" max="12" width="9.5703125" style="162" bestFit="1" customWidth="1"/>
    <col min="13" max="14" width="7.5703125" style="162" bestFit="1" customWidth="1"/>
    <col min="15" max="15" width="159.7109375" style="532" hidden="1" customWidth="1"/>
    <col min="16" max="16" width="58.85546875" style="524" hidden="1" customWidth="1"/>
    <col min="17" max="17" width="11" style="527" hidden="1" customWidth="1"/>
    <col min="18" max="18" width="15" style="527" hidden="1" customWidth="1"/>
    <col min="19" max="20" width="11" style="527" hidden="1" customWidth="1"/>
    <col min="21" max="21" width="11" style="526" hidden="1" customWidth="1"/>
    <col min="22" max="24" width="11" style="527" hidden="1" customWidth="1"/>
    <col min="25" max="25" width="2.42578125" style="279" hidden="1" customWidth="1"/>
    <col min="26" max="26" width="43.42578125" style="279" hidden="1" customWidth="1"/>
    <col min="27" max="27" width="58.28515625" style="279" hidden="1" customWidth="1"/>
    <col min="28" max="28" width="11" style="286" hidden="1" customWidth="1"/>
    <col min="29" max="35" width="11" style="279" hidden="1" customWidth="1"/>
    <col min="36" max="46" width="0" style="159" hidden="1" customWidth="1"/>
    <col min="47" max="16384" width="9.140625" style="159"/>
  </cols>
  <sheetData>
    <row r="1" spans="1:35">
      <c r="A1" s="221" t="s">
        <v>545</v>
      </c>
    </row>
    <row r="2" spans="1:35">
      <c r="A2" s="455" t="s">
        <v>616</v>
      </c>
      <c r="O2" s="570" t="s">
        <v>616</v>
      </c>
    </row>
    <row r="3" spans="1:35">
      <c r="A3" s="222" t="s">
        <v>547</v>
      </c>
      <c r="B3" s="449">
        <v>2.5000000000000001E-2</v>
      </c>
      <c r="O3" s="532" t="s">
        <v>547</v>
      </c>
      <c r="P3" s="529">
        <v>2.5000000000000001E-2</v>
      </c>
    </row>
    <row r="4" spans="1:35">
      <c r="A4" s="222" t="s">
        <v>617</v>
      </c>
      <c r="B4" s="270">
        <v>1</v>
      </c>
      <c r="O4" s="532" t="s">
        <v>617</v>
      </c>
      <c r="P4" s="531">
        <v>1</v>
      </c>
    </row>
    <row r="5" spans="1:35">
      <c r="A5" s="222" t="s">
        <v>551</v>
      </c>
      <c r="O5" s="532" t="s">
        <v>552</v>
      </c>
    </row>
    <row r="6" spans="1:35">
      <c r="A6" s="500" t="str">
        <f>'1 1 2024'!A8</f>
        <v>Last Updated: September 25, 2024</v>
      </c>
      <c r="O6" s="533" t="s">
        <v>555</v>
      </c>
    </row>
    <row r="7" spans="1:35">
      <c r="C7" s="162"/>
      <c r="D7" s="162"/>
      <c r="E7" s="162"/>
      <c r="F7" s="162"/>
      <c r="G7" s="162"/>
      <c r="Q7" s="526"/>
      <c r="R7" s="526"/>
      <c r="S7" s="526"/>
      <c r="T7" s="526"/>
      <c r="Z7" s="279" t="s">
        <v>553</v>
      </c>
    </row>
    <row r="8" spans="1:35">
      <c r="C8" s="162"/>
      <c r="D8" s="162"/>
      <c r="E8" s="162"/>
      <c r="F8" s="162"/>
      <c r="G8" s="162"/>
      <c r="Q8" s="526"/>
      <c r="R8" s="526">
        <v>4</v>
      </c>
      <c r="S8" s="526">
        <f>R8+1</f>
        <v>5</v>
      </c>
      <c r="T8" s="526">
        <f t="shared" ref="T8:X8" si="0">S8+1</f>
        <v>6</v>
      </c>
      <c r="U8" s="526">
        <f t="shared" si="0"/>
        <v>7</v>
      </c>
      <c r="V8" s="526">
        <f t="shared" si="0"/>
        <v>8</v>
      </c>
      <c r="W8" s="526">
        <f t="shared" si="0"/>
        <v>9</v>
      </c>
      <c r="X8" s="526">
        <f t="shared" si="0"/>
        <v>10</v>
      </c>
      <c r="Z8" s="279" t="s">
        <v>556</v>
      </c>
    </row>
    <row r="9" spans="1:35" ht="30">
      <c r="A9" s="381" t="s">
        <v>7</v>
      </c>
      <c r="B9" s="382" t="s">
        <v>440</v>
      </c>
      <c r="C9" s="504" t="s">
        <v>557</v>
      </c>
      <c r="D9" s="381" t="s">
        <v>374</v>
      </c>
      <c r="E9" s="381" t="s">
        <v>373</v>
      </c>
      <c r="F9" s="381" t="s">
        <v>558</v>
      </c>
      <c r="G9" s="381" t="s">
        <v>376</v>
      </c>
      <c r="H9" s="383" t="s">
        <v>154</v>
      </c>
      <c r="I9" s="383" t="s">
        <v>156</v>
      </c>
      <c r="J9" s="383" t="s">
        <v>158</v>
      </c>
      <c r="K9" s="383" t="s">
        <v>170</v>
      </c>
      <c r="L9" s="383" t="s">
        <v>441</v>
      </c>
      <c r="M9" s="383" t="s">
        <v>442</v>
      </c>
      <c r="N9" s="383" t="s">
        <v>443</v>
      </c>
      <c r="O9" s="535" t="s">
        <v>7</v>
      </c>
      <c r="P9" s="536" t="s">
        <v>440</v>
      </c>
      <c r="Q9" s="535" t="s">
        <v>373</v>
      </c>
      <c r="R9" s="537" t="s">
        <v>154</v>
      </c>
      <c r="S9" s="537" t="s">
        <v>156</v>
      </c>
      <c r="T9" s="537" t="s">
        <v>158</v>
      </c>
      <c r="U9" s="537" t="s">
        <v>170</v>
      </c>
      <c r="V9" s="537" t="s">
        <v>441</v>
      </c>
      <c r="W9" s="537" t="s">
        <v>442</v>
      </c>
      <c r="X9" s="537" t="s">
        <v>443</v>
      </c>
      <c r="Y9" s="283"/>
      <c r="Z9" s="506" t="s">
        <v>7</v>
      </c>
      <c r="AA9" s="507" t="s">
        <v>440</v>
      </c>
      <c r="AB9" s="506" t="s">
        <v>373</v>
      </c>
      <c r="AC9" s="508" t="s">
        <v>154</v>
      </c>
      <c r="AD9" s="508" t="s">
        <v>156</v>
      </c>
      <c r="AE9" s="508" t="s">
        <v>158</v>
      </c>
      <c r="AF9" s="508" t="s">
        <v>170</v>
      </c>
      <c r="AG9" s="508" t="s">
        <v>441</v>
      </c>
      <c r="AH9" s="508" t="s">
        <v>442</v>
      </c>
      <c r="AI9" s="508" t="s">
        <v>443</v>
      </c>
    </row>
    <row r="10" spans="1:35">
      <c r="A10" s="162" t="s">
        <v>45</v>
      </c>
      <c r="B10" s="211" t="s">
        <v>46</v>
      </c>
      <c r="C10" s="162">
        <v>228</v>
      </c>
      <c r="D10" s="162">
        <v>5</v>
      </c>
      <c r="E10" s="162">
        <v>15</v>
      </c>
      <c r="F10" s="162" t="s">
        <v>17</v>
      </c>
      <c r="G10" s="162" t="s">
        <v>18</v>
      </c>
      <c r="H10" s="269">
        <f>AC10</f>
        <v>38.76</v>
      </c>
      <c r="I10" s="269"/>
      <c r="J10" s="269"/>
      <c r="K10" s="269"/>
      <c r="L10" s="269"/>
      <c r="M10" s="269"/>
      <c r="N10" s="269"/>
      <c r="O10" s="526" t="s">
        <v>45</v>
      </c>
      <c r="P10" s="538" t="s">
        <v>46</v>
      </c>
      <c r="Q10" s="526">
        <v>15</v>
      </c>
      <c r="R10" s="571">
        <f t="shared" ref="R10:R52" si="1">(VLOOKUP($O10,Rates2024,R$8,0)+$P$4)*(1+$P$3)</f>
        <v>40.499640919999997</v>
      </c>
      <c r="S10" s="571"/>
      <c r="T10" s="571"/>
      <c r="U10" s="571"/>
      <c r="V10" s="571"/>
      <c r="W10" s="571"/>
      <c r="X10" s="571"/>
      <c r="Y10" s="620"/>
      <c r="Z10" s="279" t="str">
        <f t="shared" ref="Z10:Z57" si="2">O10</f>
        <v>00500C</v>
      </c>
      <c r="AA10" s="279" t="str">
        <f t="shared" ref="AA10:AA57" si="3">P10</f>
        <v>Asphalt Raker</v>
      </c>
      <c r="AB10" s="286">
        <f t="shared" ref="AB10:AB57" si="4">Q10</f>
        <v>15</v>
      </c>
      <c r="AC10" s="284">
        <f>ROUND(R10-1.74,3)</f>
        <v>38.76</v>
      </c>
    </row>
    <row r="11" spans="1:35">
      <c r="A11" s="162" t="s">
        <v>21</v>
      </c>
      <c r="B11" s="211" t="s">
        <v>22</v>
      </c>
      <c r="C11" s="162">
        <v>228</v>
      </c>
      <c r="D11" s="162">
        <v>5</v>
      </c>
      <c r="E11" s="162" t="s">
        <v>319</v>
      </c>
      <c r="F11" s="162" t="s">
        <v>17</v>
      </c>
      <c r="G11" s="162" t="s">
        <v>18</v>
      </c>
      <c r="H11" s="269">
        <f t="shared" ref="H11:H17" si="5">AC11</f>
        <v>34.149000000000001</v>
      </c>
      <c r="I11" s="269">
        <f t="shared" ref="I11:I17" si="6">AD11</f>
        <v>35.122999999999998</v>
      </c>
      <c r="J11" s="269">
        <f t="shared" ref="J11:J17" si="7">AE11</f>
        <v>36.127000000000002</v>
      </c>
      <c r="K11" s="269">
        <f t="shared" ref="K11:K17" si="8">AF11</f>
        <v>37.161999999999999</v>
      </c>
      <c r="L11" s="269"/>
      <c r="M11" s="269"/>
      <c r="N11" s="269"/>
      <c r="O11" s="526" t="s">
        <v>21</v>
      </c>
      <c r="P11" s="538" t="s">
        <v>22</v>
      </c>
      <c r="Q11" s="526" t="s">
        <v>319</v>
      </c>
      <c r="R11" s="571">
        <f t="shared" si="1"/>
        <v>35.888941369399987</v>
      </c>
      <c r="S11" s="571">
        <f t="shared" ref="S11:U17" si="9">(VLOOKUP($O11,Rates2024,S$8,0)+$P$4)*(1+$P$3)</f>
        <v>36.86328636959999</v>
      </c>
      <c r="T11" s="571">
        <f t="shared" si="9"/>
        <v>37.866884221999989</v>
      </c>
      <c r="U11" s="571">
        <f t="shared" si="9"/>
        <v>38.901985146000001</v>
      </c>
      <c r="V11" s="571"/>
      <c r="W11" s="571"/>
      <c r="X11" s="571"/>
      <c r="Y11" s="620"/>
      <c r="Z11" s="279" t="str">
        <f t="shared" si="2"/>
        <v>00505C</v>
      </c>
      <c r="AA11" s="279" t="str">
        <f t="shared" si="3"/>
        <v>Asphalt Raker Apprentice I (1st 522 hours)</v>
      </c>
      <c r="AB11" s="286" t="str">
        <f t="shared" si="4"/>
        <v>32</v>
      </c>
      <c r="AC11" s="284">
        <f t="shared" ref="AC11:AC57" si="10">ROUND(R11-1.74,3)</f>
        <v>34.149000000000001</v>
      </c>
      <c r="AD11" s="284">
        <f t="shared" ref="AD11:AD17" si="11">ROUND(S11-1.74,3)</f>
        <v>35.122999999999998</v>
      </c>
      <c r="AE11" s="284">
        <f t="shared" ref="AE11:AE17" si="12">ROUND(T11-1.74,3)</f>
        <v>36.127000000000002</v>
      </c>
      <c r="AF11" s="284">
        <f t="shared" ref="AF11:AF17" si="13">ROUND(U11-1.74,3)</f>
        <v>37.161999999999999</v>
      </c>
    </row>
    <row r="12" spans="1:35">
      <c r="A12" s="162" t="s">
        <v>25</v>
      </c>
      <c r="B12" s="211" t="s">
        <v>26</v>
      </c>
      <c r="C12" s="162">
        <v>228</v>
      </c>
      <c r="D12" s="162">
        <v>5</v>
      </c>
      <c r="E12" s="162" t="s">
        <v>321</v>
      </c>
      <c r="F12" s="162" t="s">
        <v>17</v>
      </c>
      <c r="G12" s="162" t="s">
        <v>18</v>
      </c>
      <c r="H12" s="269">
        <f t="shared" si="5"/>
        <v>34.67</v>
      </c>
      <c r="I12" s="269">
        <f t="shared" si="6"/>
        <v>35.645000000000003</v>
      </c>
      <c r="J12" s="269">
        <f t="shared" si="7"/>
        <v>36.649000000000001</v>
      </c>
      <c r="K12" s="269">
        <f t="shared" si="8"/>
        <v>37.683</v>
      </c>
      <c r="L12" s="269"/>
      <c r="M12" s="269"/>
      <c r="N12" s="269"/>
      <c r="O12" s="526" t="s">
        <v>25</v>
      </c>
      <c r="P12" s="538" t="s">
        <v>26</v>
      </c>
      <c r="Q12" s="526" t="s">
        <v>321</v>
      </c>
      <c r="R12" s="571">
        <f t="shared" si="1"/>
        <v>36.409867160499992</v>
      </c>
      <c r="S12" s="571">
        <f t="shared" si="9"/>
        <v>37.385337270399994</v>
      </c>
      <c r="T12" s="571">
        <f t="shared" si="9"/>
        <v>38.3889351228</v>
      </c>
      <c r="U12" s="571">
        <f t="shared" si="9"/>
        <v>39.422910937099999</v>
      </c>
      <c r="V12" s="571"/>
      <c r="W12" s="571"/>
      <c r="X12" s="571"/>
      <c r="Y12" s="620"/>
      <c r="Z12" s="279" t="str">
        <f t="shared" si="2"/>
        <v>00507C</v>
      </c>
      <c r="AA12" s="279" t="str">
        <f t="shared" si="3"/>
        <v>Asphalt Raker Apprentice II (2nd 522 hours)</v>
      </c>
      <c r="AB12" s="286" t="str">
        <f t="shared" si="4"/>
        <v>33</v>
      </c>
      <c r="AC12" s="284">
        <f t="shared" si="10"/>
        <v>34.67</v>
      </c>
      <c r="AD12" s="284">
        <f t="shared" si="11"/>
        <v>35.645000000000003</v>
      </c>
      <c r="AE12" s="284">
        <f t="shared" si="12"/>
        <v>36.649000000000001</v>
      </c>
      <c r="AF12" s="284">
        <f t="shared" si="13"/>
        <v>37.683</v>
      </c>
    </row>
    <row r="13" spans="1:35">
      <c r="A13" s="162" t="s">
        <v>48</v>
      </c>
      <c r="B13" s="211" t="s">
        <v>49</v>
      </c>
      <c r="C13" s="162">
        <v>178</v>
      </c>
      <c r="D13" s="162">
        <v>3</v>
      </c>
      <c r="E13" s="162" t="s">
        <v>47</v>
      </c>
      <c r="F13" s="162" t="s">
        <v>17</v>
      </c>
      <c r="G13" s="162" t="s">
        <v>18</v>
      </c>
      <c r="H13" s="269">
        <f t="shared" si="5"/>
        <v>21.765999999999998</v>
      </c>
      <c r="I13" s="269">
        <f t="shared" si="6"/>
        <v>24.844999999999999</v>
      </c>
      <c r="J13" s="269">
        <f t="shared" si="7"/>
        <v>26.106000000000002</v>
      </c>
      <c r="K13" s="269">
        <f t="shared" si="8"/>
        <v>32.052999999999997</v>
      </c>
      <c r="L13" s="269"/>
      <c r="M13" s="269"/>
      <c r="N13" s="269"/>
      <c r="O13" s="526" t="s">
        <v>48</v>
      </c>
      <c r="P13" s="538" t="s">
        <v>49</v>
      </c>
      <c r="Q13" s="526" t="s">
        <v>47</v>
      </c>
      <c r="R13" s="571">
        <f t="shared" si="1"/>
        <v>23.505984011199995</v>
      </c>
      <c r="S13" s="571">
        <f t="shared" si="9"/>
        <v>26.585409260099997</v>
      </c>
      <c r="T13" s="571">
        <f t="shared" si="9"/>
        <v>27.845532124099996</v>
      </c>
      <c r="U13" s="571">
        <f t="shared" si="9"/>
        <v>33.79286199829999</v>
      </c>
      <c r="V13" s="571"/>
      <c r="W13" s="571"/>
      <c r="X13" s="571"/>
      <c r="Y13" s="620"/>
      <c r="Z13" s="279" t="str">
        <f t="shared" si="2"/>
        <v>01060C</v>
      </c>
      <c r="AA13" s="279" t="str">
        <f t="shared" si="3"/>
        <v>Attendant Impound Lot</v>
      </c>
      <c r="AB13" s="286" t="str">
        <f t="shared" si="4"/>
        <v>02</v>
      </c>
      <c r="AC13" s="284">
        <f t="shared" si="10"/>
        <v>21.765999999999998</v>
      </c>
      <c r="AD13" s="284">
        <f t="shared" si="11"/>
        <v>24.844999999999999</v>
      </c>
      <c r="AE13" s="284">
        <f t="shared" si="12"/>
        <v>26.106000000000002</v>
      </c>
      <c r="AF13" s="284">
        <f t="shared" si="13"/>
        <v>32.052999999999997</v>
      </c>
    </row>
    <row r="14" spans="1:35">
      <c r="A14" s="162" t="s">
        <v>31</v>
      </c>
      <c r="B14" s="211" t="s">
        <v>32</v>
      </c>
      <c r="C14" s="162">
        <v>280</v>
      </c>
      <c r="D14" s="162">
        <v>6</v>
      </c>
      <c r="E14" s="162" t="s">
        <v>321</v>
      </c>
      <c r="F14" s="162" t="s">
        <v>17</v>
      </c>
      <c r="G14" s="162" t="s">
        <v>18</v>
      </c>
      <c r="H14" s="269">
        <f t="shared" si="5"/>
        <v>34.67</v>
      </c>
      <c r="I14" s="269">
        <f t="shared" si="6"/>
        <v>35.645000000000003</v>
      </c>
      <c r="J14" s="269">
        <f t="shared" si="7"/>
        <v>36.649000000000001</v>
      </c>
      <c r="K14" s="269">
        <f t="shared" si="8"/>
        <v>37.683</v>
      </c>
      <c r="L14" s="269"/>
      <c r="M14" s="269"/>
      <c r="N14" s="269"/>
      <c r="O14" s="526" t="s">
        <v>31</v>
      </c>
      <c r="P14" s="538" t="s">
        <v>32</v>
      </c>
      <c r="Q14" s="526" t="s">
        <v>321</v>
      </c>
      <c r="R14" s="571">
        <f t="shared" si="1"/>
        <v>36.409867160499992</v>
      </c>
      <c r="S14" s="571">
        <f t="shared" si="9"/>
        <v>37.385337270399994</v>
      </c>
      <c r="T14" s="571">
        <f t="shared" si="9"/>
        <v>38.3889351228</v>
      </c>
      <c r="U14" s="571">
        <f t="shared" si="9"/>
        <v>39.422910937099999</v>
      </c>
      <c r="V14" s="571"/>
      <c r="W14" s="571"/>
      <c r="X14" s="571"/>
      <c r="Y14" s="620"/>
      <c r="Z14" s="279" t="str">
        <f t="shared" si="2"/>
        <v>01585C</v>
      </c>
      <c r="AA14" s="279" t="str">
        <f t="shared" si="3"/>
        <v>Cement Finisher Apprentice I (1st 174 hours)</v>
      </c>
      <c r="AB14" s="286" t="str">
        <f t="shared" si="4"/>
        <v>33</v>
      </c>
      <c r="AC14" s="284">
        <f t="shared" si="10"/>
        <v>34.67</v>
      </c>
      <c r="AD14" s="284">
        <f t="shared" si="11"/>
        <v>35.645000000000003</v>
      </c>
      <c r="AE14" s="284">
        <f t="shared" si="12"/>
        <v>36.649000000000001</v>
      </c>
      <c r="AF14" s="284">
        <f t="shared" si="13"/>
        <v>37.683</v>
      </c>
    </row>
    <row r="15" spans="1:35">
      <c r="A15" s="162" t="s">
        <v>35</v>
      </c>
      <c r="B15" s="211" t="s">
        <v>36</v>
      </c>
      <c r="C15" s="162">
        <v>280</v>
      </c>
      <c r="D15" s="162">
        <v>6</v>
      </c>
      <c r="E15" s="162" t="s">
        <v>322</v>
      </c>
      <c r="F15" s="162" t="s">
        <v>17</v>
      </c>
      <c r="G15" s="162" t="s">
        <v>18</v>
      </c>
      <c r="H15" s="269">
        <f t="shared" si="5"/>
        <v>35.116999999999997</v>
      </c>
      <c r="I15" s="269">
        <f t="shared" si="6"/>
        <v>36.091999999999999</v>
      </c>
      <c r="J15" s="269">
        <f t="shared" si="7"/>
        <v>37.094000000000001</v>
      </c>
      <c r="K15" s="269">
        <f t="shared" si="8"/>
        <v>38.130000000000003</v>
      </c>
      <c r="L15" s="269"/>
      <c r="M15" s="269"/>
      <c r="N15" s="269"/>
      <c r="O15" s="526" t="s">
        <v>35</v>
      </c>
      <c r="P15" s="538" t="s">
        <v>36</v>
      </c>
      <c r="Q15" s="526" t="s">
        <v>322</v>
      </c>
      <c r="R15" s="571">
        <f t="shared" si="1"/>
        <v>36.856535711399992</v>
      </c>
      <c r="S15" s="571">
        <f t="shared" si="9"/>
        <v>37.832005821300001</v>
      </c>
      <c r="T15" s="571">
        <f t="shared" si="9"/>
        <v>38.834478563999987</v>
      </c>
      <c r="U15" s="571">
        <f t="shared" si="9"/>
        <v>39.869579487999985</v>
      </c>
      <c r="V15" s="571"/>
      <c r="W15" s="571"/>
      <c r="X15" s="571"/>
      <c r="Y15" s="620"/>
      <c r="Z15" s="279" t="str">
        <f t="shared" si="2"/>
        <v>01586C</v>
      </c>
      <c r="AA15" s="279" t="str">
        <f t="shared" si="3"/>
        <v>Cement Finisher Apprentice II (Next 696 hours)</v>
      </c>
      <c r="AB15" s="286" t="str">
        <f t="shared" si="4"/>
        <v>35</v>
      </c>
      <c r="AC15" s="284">
        <f t="shared" si="10"/>
        <v>35.116999999999997</v>
      </c>
      <c r="AD15" s="284">
        <f t="shared" si="11"/>
        <v>36.091999999999999</v>
      </c>
      <c r="AE15" s="284">
        <f t="shared" si="12"/>
        <v>37.094000000000001</v>
      </c>
      <c r="AF15" s="284">
        <f t="shared" si="13"/>
        <v>38.130000000000003</v>
      </c>
    </row>
    <row r="16" spans="1:35">
      <c r="A16" s="162" t="s">
        <v>39</v>
      </c>
      <c r="B16" s="211" t="s">
        <v>40</v>
      </c>
      <c r="C16" s="162">
        <v>280</v>
      </c>
      <c r="D16" s="162">
        <v>6</v>
      </c>
      <c r="E16" s="162" t="s">
        <v>323</v>
      </c>
      <c r="F16" s="162" t="s">
        <v>17</v>
      </c>
      <c r="G16" s="162" t="s">
        <v>18</v>
      </c>
      <c r="H16" s="269">
        <f t="shared" si="5"/>
        <v>36.530999999999999</v>
      </c>
      <c r="I16" s="269">
        <f t="shared" si="6"/>
        <v>37.506</v>
      </c>
      <c r="J16" s="269">
        <f t="shared" si="7"/>
        <v>38.511000000000003</v>
      </c>
      <c r="K16" s="269">
        <f t="shared" si="8"/>
        <v>39.545999999999999</v>
      </c>
      <c r="L16" s="269"/>
      <c r="M16" s="269"/>
      <c r="N16" s="269"/>
      <c r="O16" s="526" t="s">
        <v>39</v>
      </c>
      <c r="P16" s="538" t="s">
        <v>40</v>
      </c>
      <c r="Q16" s="526" t="s">
        <v>323</v>
      </c>
      <c r="R16" s="571">
        <f t="shared" si="1"/>
        <v>38.270798604299991</v>
      </c>
      <c r="S16" s="571">
        <f t="shared" si="9"/>
        <v>39.246268714199992</v>
      </c>
      <c r="T16" s="571">
        <f t="shared" si="9"/>
        <v>40.250991676299996</v>
      </c>
      <c r="U16" s="571">
        <f t="shared" si="9"/>
        <v>41.286092600299995</v>
      </c>
      <c r="V16" s="571"/>
      <c r="W16" s="571"/>
      <c r="X16" s="571"/>
      <c r="Y16" s="620"/>
      <c r="Z16" s="279" t="str">
        <f t="shared" si="2"/>
        <v>01587C</v>
      </c>
      <c r="AA16" s="279" t="str">
        <f t="shared" si="3"/>
        <v>Cement Finisher Apprentice III (Next 696 hours)</v>
      </c>
      <c r="AB16" s="286" t="str">
        <f t="shared" si="4"/>
        <v>36</v>
      </c>
      <c r="AC16" s="284">
        <f t="shared" si="10"/>
        <v>36.530999999999999</v>
      </c>
      <c r="AD16" s="284">
        <f t="shared" si="11"/>
        <v>37.506</v>
      </c>
      <c r="AE16" s="284">
        <f t="shared" si="12"/>
        <v>38.511000000000003</v>
      </c>
      <c r="AF16" s="284">
        <f t="shared" si="13"/>
        <v>39.545999999999999</v>
      </c>
    </row>
    <row r="17" spans="1:32">
      <c r="A17" s="162" t="s">
        <v>42</v>
      </c>
      <c r="B17" s="211" t="s">
        <v>43</v>
      </c>
      <c r="C17" s="162">
        <v>280</v>
      </c>
      <c r="D17" s="162">
        <v>6</v>
      </c>
      <c r="E17" s="162" t="s">
        <v>324</v>
      </c>
      <c r="F17" s="162" t="s">
        <v>17</v>
      </c>
      <c r="G17" s="162" t="s">
        <v>18</v>
      </c>
      <c r="H17" s="269">
        <f t="shared" si="5"/>
        <v>37.649000000000001</v>
      </c>
      <c r="I17" s="269">
        <f t="shared" si="6"/>
        <v>38.625999999999998</v>
      </c>
      <c r="J17" s="269">
        <f t="shared" si="7"/>
        <v>39.628</v>
      </c>
      <c r="K17" s="269">
        <f t="shared" si="8"/>
        <v>40.662999999999997</v>
      </c>
      <c r="L17" s="269"/>
      <c r="M17" s="269"/>
      <c r="N17" s="269"/>
      <c r="O17" s="526" t="s">
        <v>42</v>
      </c>
      <c r="P17" s="538" t="s">
        <v>43</v>
      </c>
      <c r="Q17" s="526" t="s">
        <v>324</v>
      </c>
      <c r="R17" s="571">
        <f t="shared" si="1"/>
        <v>39.389157646099996</v>
      </c>
      <c r="S17" s="571">
        <f t="shared" si="9"/>
        <v>40.365752865699996</v>
      </c>
      <c r="T17" s="571">
        <f t="shared" si="9"/>
        <v>41.368225608399989</v>
      </c>
      <c r="U17" s="571">
        <f t="shared" si="9"/>
        <v>42.403326532399994</v>
      </c>
      <c r="V17" s="571"/>
      <c r="W17" s="571"/>
      <c r="X17" s="571"/>
      <c r="Y17" s="620"/>
      <c r="Z17" s="279" t="str">
        <f t="shared" si="2"/>
        <v>01588C</v>
      </c>
      <c r="AA17" s="279" t="str">
        <f t="shared" si="3"/>
        <v>Cement Finisher Apprentice IV (Next 696 hours)</v>
      </c>
      <c r="AB17" s="286" t="str">
        <f t="shared" si="4"/>
        <v>37</v>
      </c>
      <c r="AC17" s="284">
        <f t="shared" si="10"/>
        <v>37.649000000000001</v>
      </c>
      <c r="AD17" s="284">
        <f t="shared" si="11"/>
        <v>38.625999999999998</v>
      </c>
      <c r="AE17" s="284">
        <f t="shared" si="12"/>
        <v>39.628</v>
      </c>
      <c r="AF17" s="284">
        <f t="shared" si="13"/>
        <v>40.662999999999997</v>
      </c>
    </row>
    <row r="18" spans="1:32">
      <c r="A18" s="162" t="s">
        <v>50</v>
      </c>
      <c r="B18" s="211" t="s">
        <v>51</v>
      </c>
      <c r="C18" s="162">
        <v>333</v>
      </c>
      <c r="D18" s="162">
        <v>7</v>
      </c>
      <c r="E18" s="162" t="s">
        <v>506</v>
      </c>
      <c r="F18" s="162" t="s">
        <v>17</v>
      </c>
      <c r="G18" s="162" t="s">
        <v>18</v>
      </c>
      <c r="H18" s="269">
        <f t="shared" ref="H18:H57" si="14">AC18</f>
        <v>46.478999999999999</v>
      </c>
      <c r="I18" s="269"/>
      <c r="J18" s="269"/>
      <c r="K18" s="269"/>
      <c r="L18" s="269"/>
      <c r="M18" s="269"/>
      <c r="N18" s="269"/>
      <c r="O18" s="526" t="s">
        <v>50</v>
      </c>
      <c r="P18" s="538" t="s">
        <v>51</v>
      </c>
      <c r="Q18" s="526" t="s">
        <v>506</v>
      </c>
      <c r="R18" s="571">
        <f t="shared" si="1"/>
        <v>48.219018571699998</v>
      </c>
      <c r="S18" s="571"/>
      <c r="T18" s="571"/>
      <c r="U18" s="571"/>
      <c r="V18" s="571"/>
      <c r="W18" s="571"/>
      <c r="X18" s="571"/>
      <c r="Y18" s="620"/>
      <c r="Z18" s="279" t="str">
        <f t="shared" si="2"/>
        <v>01570C</v>
      </c>
      <c r="AA18" s="279" t="str">
        <f t="shared" si="3"/>
        <v>Cement Finisher Journeyman</v>
      </c>
      <c r="AB18" s="286" t="str">
        <f t="shared" si="4"/>
        <v>40</v>
      </c>
      <c r="AC18" s="284">
        <f t="shared" si="10"/>
        <v>46.478999999999999</v>
      </c>
    </row>
    <row r="19" spans="1:32">
      <c r="A19" s="162" t="s">
        <v>53</v>
      </c>
      <c r="B19" s="211" t="s">
        <v>54</v>
      </c>
      <c r="C19" s="162">
        <v>188</v>
      </c>
      <c r="D19" s="162">
        <v>4</v>
      </c>
      <c r="E19" s="162" t="s">
        <v>52</v>
      </c>
      <c r="F19" s="162" t="s">
        <v>17</v>
      </c>
      <c r="G19" s="162" t="s">
        <v>18</v>
      </c>
      <c r="H19" s="269">
        <f t="shared" si="14"/>
        <v>25.626000000000001</v>
      </c>
      <c r="I19" s="269">
        <f t="shared" ref="I19" si="15">AD19</f>
        <v>28.971</v>
      </c>
      <c r="J19" s="269">
        <f t="shared" ref="J19" si="16">AE19</f>
        <v>34.445</v>
      </c>
      <c r="K19" s="269"/>
      <c r="L19" s="269"/>
      <c r="M19" s="269"/>
      <c r="N19" s="269"/>
      <c r="O19" s="526" t="s">
        <v>53</v>
      </c>
      <c r="P19" s="538" t="s">
        <v>54</v>
      </c>
      <c r="Q19" s="526" t="s">
        <v>52</v>
      </c>
      <c r="R19" s="571">
        <f t="shared" si="1"/>
        <v>27.366235391899998</v>
      </c>
      <c r="S19" s="571">
        <f>(VLOOKUP($O19,Rates2024,S$8,0)+$P$4)*(1+$P$3)</f>
        <v>30.711186529999996</v>
      </c>
      <c r="T19" s="571">
        <f>(VLOOKUP($O19,Rates2024,T$8,0)+$P$4)*(1+$P$3)</f>
        <v>36.184845220499994</v>
      </c>
      <c r="U19" s="571"/>
      <c r="V19" s="571"/>
      <c r="W19" s="571"/>
      <c r="X19" s="571"/>
      <c r="Y19" s="620"/>
      <c r="Z19" s="279" t="str">
        <f t="shared" si="2"/>
        <v>02616C</v>
      </c>
      <c r="AA19" s="279" t="str">
        <f t="shared" si="3"/>
        <v>Constr Maint Labor WU Shop-C</v>
      </c>
      <c r="AB19" s="286" t="str">
        <f t="shared" si="4"/>
        <v>03</v>
      </c>
      <c r="AC19" s="284">
        <f t="shared" si="10"/>
        <v>25.626000000000001</v>
      </c>
      <c r="AD19" s="284">
        <f t="shared" ref="AD19" si="17">ROUND(S19-1.74,3)</f>
        <v>28.971</v>
      </c>
      <c r="AE19" s="284">
        <f t="shared" ref="AE19" si="18">ROUND(T19-1.74,3)</f>
        <v>34.445</v>
      </c>
    </row>
    <row r="20" spans="1:32">
      <c r="A20" s="162" t="s">
        <v>377</v>
      </c>
      <c r="B20" s="211" t="s">
        <v>378</v>
      </c>
      <c r="C20" s="162">
        <v>273</v>
      </c>
      <c r="D20" s="162">
        <v>6</v>
      </c>
      <c r="E20" s="162" t="s">
        <v>332</v>
      </c>
      <c r="F20" s="162" t="s">
        <v>17</v>
      </c>
      <c r="G20" s="162" t="s">
        <v>18</v>
      </c>
      <c r="H20" s="269">
        <f t="shared" si="14"/>
        <v>39.401000000000003</v>
      </c>
      <c r="I20" s="269"/>
      <c r="J20" s="269"/>
      <c r="K20" s="269"/>
      <c r="L20" s="269"/>
      <c r="M20" s="269"/>
      <c r="N20" s="269"/>
      <c r="O20" s="526" t="s">
        <v>377</v>
      </c>
      <c r="P20" s="538" t="s">
        <v>378</v>
      </c>
      <c r="Q20" s="526" t="s">
        <v>332</v>
      </c>
      <c r="R20" s="571">
        <f t="shared" si="1"/>
        <v>41.140953449000001</v>
      </c>
      <c r="S20" s="571"/>
      <c r="T20" s="571"/>
      <c r="U20" s="571"/>
      <c r="V20" s="571"/>
      <c r="W20" s="571"/>
      <c r="X20" s="571"/>
      <c r="Y20" s="620"/>
      <c r="Z20" s="279" t="str">
        <f t="shared" si="2"/>
        <v>52921C</v>
      </c>
      <c r="AA20" s="279" t="str">
        <f t="shared" si="3"/>
        <v>Construction Crew Leader</v>
      </c>
      <c r="AB20" s="286" t="str">
        <f t="shared" si="4"/>
        <v>31</v>
      </c>
      <c r="AC20" s="284">
        <f t="shared" si="10"/>
        <v>39.401000000000003</v>
      </c>
    </row>
    <row r="21" spans="1:32">
      <c r="A21" s="162" t="s">
        <v>56</v>
      </c>
      <c r="B21" s="211" t="s">
        <v>57</v>
      </c>
      <c r="C21" s="162">
        <v>188</v>
      </c>
      <c r="D21" s="162">
        <v>4</v>
      </c>
      <c r="E21" s="162" t="s">
        <v>52</v>
      </c>
      <c r="F21" s="162" t="s">
        <v>17</v>
      </c>
      <c r="G21" s="162" t="s">
        <v>18</v>
      </c>
      <c r="H21" s="269">
        <f t="shared" si="14"/>
        <v>25.626000000000001</v>
      </c>
      <c r="I21" s="269">
        <f t="shared" ref="I21:I22" si="19">AD21</f>
        <v>28.971</v>
      </c>
      <c r="J21" s="269">
        <f t="shared" ref="J21:J22" si="20">AE21</f>
        <v>34.445</v>
      </c>
      <c r="K21" s="269"/>
      <c r="L21" s="269"/>
      <c r="M21" s="269"/>
      <c r="N21" s="269"/>
      <c r="O21" s="526" t="s">
        <v>56</v>
      </c>
      <c r="P21" s="538" t="s">
        <v>57</v>
      </c>
      <c r="Q21" s="526" t="s">
        <v>52</v>
      </c>
      <c r="R21" s="571">
        <f t="shared" si="1"/>
        <v>27.366235391899998</v>
      </c>
      <c r="S21" s="571">
        <f t="shared" ref="S21:T25" si="21">(VLOOKUP($O21,Rates2024,S$8,0)+$P$4)*(1+$P$3)</f>
        <v>30.711186529999996</v>
      </c>
      <c r="T21" s="571">
        <f t="shared" si="21"/>
        <v>36.184845220499994</v>
      </c>
      <c r="U21" s="571"/>
      <c r="V21" s="571"/>
      <c r="W21" s="571"/>
      <c r="X21" s="571"/>
      <c r="Y21" s="620"/>
      <c r="Z21" s="279" t="str">
        <f t="shared" si="2"/>
        <v>02610C</v>
      </c>
      <c r="AA21" s="279" t="str">
        <f t="shared" si="3"/>
        <v>Construction Maint Laborer</v>
      </c>
      <c r="AB21" s="286" t="str">
        <f t="shared" si="4"/>
        <v>03</v>
      </c>
      <c r="AC21" s="284">
        <f t="shared" si="10"/>
        <v>25.626000000000001</v>
      </c>
      <c r="AD21" s="284">
        <f t="shared" ref="AD21:AD25" si="22">ROUND(S21-1.74,3)</f>
        <v>28.971</v>
      </c>
      <c r="AE21" s="284">
        <f t="shared" ref="AE21:AF25" si="23">ROUND(T21-1.74,3)</f>
        <v>34.445</v>
      </c>
    </row>
    <row r="22" spans="1:32">
      <c r="A22" s="162" t="s">
        <v>58</v>
      </c>
      <c r="B22" s="211" t="s">
        <v>59</v>
      </c>
      <c r="C22" s="162">
        <v>153</v>
      </c>
      <c r="D22" s="162">
        <v>3</v>
      </c>
      <c r="E22" s="162">
        <v>42</v>
      </c>
      <c r="F22" s="162" t="s">
        <v>17</v>
      </c>
      <c r="G22" s="162" t="s">
        <v>18</v>
      </c>
      <c r="H22" s="269">
        <f t="shared" si="14"/>
        <v>24.844999999999999</v>
      </c>
      <c r="I22" s="269">
        <f t="shared" si="19"/>
        <v>26.106000000000002</v>
      </c>
      <c r="J22" s="269">
        <f t="shared" si="20"/>
        <v>32.052999999999997</v>
      </c>
      <c r="K22" s="269"/>
      <c r="L22" s="269"/>
      <c r="M22" s="269"/>
      <c r="N22" s="269"/>
      <c r="O22" s="526" t="s">
        <v>58</v>
      </c>
      <c r="P22" s="538" t="s">
        <v>59</v>
      </c>
      <c r="Q22" s="526">
        <v>42</v>
      </c>
      <c r="R22" s="571">
        <f t="shared" si="1"/>
        <v>26.585409260099997</v>
      </c>
      <c r="S22" s="571">
        <f t="shared" si="21"/>
        <v>27.845532124099996</v>
      </c>
      <c r="T22" s="571">
        <f t="shared" si="21"/>
        <v>33.79286199829999</v>
      </c>
      <c r="U22" s="571"/>
      <c r="V22" s="571"/>
      <c r="W22" s="571"/>
      <c r="X22" s="571"/>
      <c r="Y22" s="620"/>
      <c r="Z22" s="279" t="str">
        <f t="shared" si="2"/>
        <v>05850C</v>
      </c>
      <c r="AA22" s="279" t="str">
        <f t="shared" si="3"/>
        <v>Custodian Property Services</v>
      </c>
      <c r="AB22" s="286">
        <f t="shared" si="4"/>
        <v>42</v>
      </c>
      <c r="AC22" s="284">
        <f t="shared" si="10"/>
        <v>24.844999999999999</v>
      </c>
      <c r="AD22" s="284">
        <f t="shared" si="22"/>
        <v>26.106000000000002</v>
      </c>
      <c r="AE22" s="284">
        <f t="shared" si="23"/>
        <v>32.052999999999997</v>
      </c>
    </row>
    <row r="23" spans="1:32">
      <c r="A23" s="162" t="s">
        <v>60</v>
      </c>
      <c r="B23" s="211" t="s">
        <v>61</v>
      </c>
      <c r="C23" s="162">
        <v>160</v>
      </c>
      <c r="D23" s="162">
        <v>3</v>
      </c>
      <c r="E23" s="162" t="s">
        <v>47</v>
      </c>
      <c r="F23" s="162" t="s">
        <v>17</v>
      </c>
      <c r="G23" s="162" t="s">
        <v>18</v>
      </c>
      <c r="H23" s="269">
        <f t="shared" ref="H23:H25" si="24">AC23</f>
        <v>21.765999999999998</v>
      </c>
      <c r="I23" s="269">
        <f t="shared" ref="I23:I25" si="25">AD23</f>
        <v>24.844999999999999</v>
      </c>
      <c r="J23" s="269">
        <f t="shared" ref="J23:J25" si="26">AE23</f>
        <v>26.106000000000002</v>
      </c>
      <c r="K23" s="269">
        <f t="shared" ref="K23:K25" si="27">AF23</f>
        <v>32.052999999999997</v>
      </c>
      <c r="L23" s="269"/>
      <c r="M23" s="269"/>
      <c r="N23" s="269"/>
      <c r="O23" s="526" t="s">
        <v>60</v>
      </c>
      <c r="P23" s="538" t="s">
        <v>61</v>
      </c>
      <c r="Q23" s="526" t="s">
        <v>47</v>
      </c>
      <c r="R23" s="571">
        <f t="shared" si="1"/>
        <v>23.505984011199995</v>
      </c>
      <c r="S23" s="571">
        <f t="shared" si="21"/>
        <v>26.585409260099997</v>
      </c>
      <c r="T23" s="571">
        <f t="shared" si="21"/>
        <v>27.845532124099996</v>
      </c>
      <c r="U23" s="571">
        <f>(VLOOKUP($O23,Rates2024,U$8,0)+$P$4)*(1+$P$3)</f>
        <v>33.79286199829999</v>
      </c>
      <c r="V23" s="571"/>
      <c r="W23" s="571"/>
      <c r="X23" s="571"/>
      <c r="Y23" s="620"/>
      <c r="Z23" s="279" t="str">
        <f t="shared" si="2"/>
        <v>02960C</v>
      </c>
      <c r="AA23" s="279" t="str">
        <f t="shared" si="3"/>
        <v>Delivery Worker</v>
      </c>
      <c r="AB23" s="286" t="str">
        <f t="shared" si="4"/>
        <v>02</v>
      </c>
      <c r="AC23" s="284">
        <f t="shared" si="10"/>
        <v>21.765999999999998</v>
      </c>
      <c r="AD23" s="284">
        <f t="shared" si="22"/>
        <v>24.844999999999999</v>
      </c>
      <c r="AE23" s="284">
        <f t="shared" si="23"/>
        <v>26.106000000000002</v>
      </c>
      <c r="AF23" s="284">
        <f t="shared" si="23"/>
        <v>32.052999999999997</v>
      </c>
    </row>
    <row r="24" spans="1:32">
      <c r="A24" s="162" t="s">
        <v>63</v>
      </c>
      <c r="B24" s="211" t="s">
        <v>64</v>
      </c>
      <c r="C24" s="162">
        <v>220</v>
      </c>
      <c r="D24" s="162">
        <v>4</v>
      </c>
      <c r="E24" s="162">
        <v>44</v>
      </c>
      <c r="F24" s="162" t="s">
        <v>17</v>
      </c>
      <c r="G24" s="162" t="s">
        <v>18</v>
      </c>
      <c r="H24" s="269">
        <f t="shared" si="24"/>
        <v>25.443999999999999</v>
      </c>
      <c r="I24" s="269">
        <f t="shared" si="25"/>
        <v>28.837</v>
      </c>
      <c r="J24" s="269">
        <f t="shared" si="26"/>
        <v>32.456000000000003</v>
      </c>
      <c r="K24" s="269">
        <f t="shared" si="27"/>
        <v>38.203000000000003</v>
      </c>
      <c r="L24" s="269"/>
      <c r="M24" s="269"/>
      <c r="N24" s="269"/>
      <c r="O24" s="526" t="s">
        <v>63</v>
      </c>
      <c r="P24" s="538" t="s">
        <v>64</v>
      </c>
      <c r="Q24" s="526" t="s">
        <v>62</v>
      </c>
      <c r="R24" s="571">
        <f t="shared" si="1"/>
        <v>27.184024999999995</v>
      </c>
      <c r="S24" s="571">
        <f t="shared" si="21"/>
        <v>30.576774999999998</v>
      </c>
      <c r="T24" s="571">
        <f t="shared" si="21"/>
        <v>34.19605</v>
      </c>
      <c r="U24" s="571">
        <f>(VLOOKUP($O24,Rates2024,U$8,0)+$P$4)*(1+$P$3)</f>
        <v>39.943224999999998</v>
      </c>
      <c r="V24" s="571"/>
      <c r="W24" s="571"/>
      <c r="X24" s="571"/>
      <c r="Y24" s="620"/>
      <c r="Z24" s="279" t="str">
        <f t="shared" si="2"/>
        <v>04170C</v>
      </c>
      <c r="AA24" s="279" t="str">
        <f t="shared" si="3"/>
        <v>Equipment Service Worker</v>
      </c>
      <c r="AB24" s="286" t="str">
        <f t="shared" si="4"/>
        <v>05</v>
      </c>
      <c r="AC24" s="284">
        <f t="shared" si="10"/>
        <v>25.443999999999999</v>
      </c>
      <c r="AD24" s="284">
        <f t="shared" si="22"/>
        <v>28.837</v>
      </c>
      <c r="AE24" s="284">
        <f t="shared" si="23"/>
        <v>32.456000000000003</v>
      </c>
      <c r="AF24" s="284">
        <f t="shared" si="23"/>
        <v>38.203000000000003</v>
      </c>
    </row>
    <row r="25" spans="1:32">
      <c r="A25" s="162" t="s">
        <v>66</v>
      </c>
      <c r="B25" s="211" t="s">
        <v>67</v>
      </c>
      <c r="C25" s="162">
        <v>263</v>
      </c>
      <c r="D25" s="162">
        <v>5</v>
      </c>
      <c r="E25" s="162" t="s">
        <v>65</v>
      </c>
      <c r="F25" s="162" t="s">
        <v>17</v>
      </c>
      <c r="G25" s="162" t="s">
        <v>18</v>
      </c>
      <c r="H25" s="269">
        <f t="shared" si="24"/>
        <v>33.201999999999998</v>
      </c>
      <c r="I25" s="269">
        <f t="shared" si="25"/>
        <v>34.216000000000001</v>
      </c>
      <c r="J25" s="269">
        <f t="shared" si="26"/>
        <v>35.268000000000001</v>
      </c>
      <c r="K25" s="269">
        <f t="shared" si="27"/>
        <v>36.564999999999998</v>
      </c>
      <c r="L25" s="269"/>
      <c r="M25" s="269"/>
      <c r="N25" s="269"/>
      <c r="O25" s="526" t="s">
        <v>66</v>
      </c>
      <c r="P25" s="538" t="s">
        <v>67</v>
      </c>
      <c r="Q25" s="526" t="s">
        <v>65</v>
      </c>
      <c r="R25" s="571">
        <f t="shared" si="1"/>
        <v>34.941599001999997</v>
      </c>
      <c r="S25" s="571">
        <f t="shared" si="21"/>
        <v>35.956447951399987</v>
      </c>
      <c r="T25" s="571">
        <f t="shared" si="21"/>
        <v>37.008425520899991</v>
      </c>
      <c r="U25" s="571">
        <f>(VLOOKUP($O25,Rates2024,U$8,0)+$P$4)*(1+$P$3)</f>
        <v>38.304551895300001</v>
      </c>
      <c r="V25" s="571"/>
      <c r="W25" s="571"/>
      <c r="X25" s="571"/>
      <c r="Y25" s="620"/>
      <c r="Z25" s="279" t="str">
        <f t="shared" si="2"/>
        <v>05958C</v>
      </c>
      <c r="AA25" s="279" t="str">
        <f t="shared" si="3"/>
        <v>Lead Custodian Property Services</v>
      </c>
      <c r="AB25" s="286" t="str">
        <f t="shared" si="4"/>
        <v>06B</v>
      </c>
      <c r="AC25" s="284">
        <f t="shared" si="10"/>
        <v>33.201999999999998</v>
      </c>
      <c r="AD25" s="284">
        <f t="shared" si="22"/>
        <v>34.216000000000001</v>
      </c>
      <c r="AE25" s="284">
        <f t="shared" si="23"/>
        <v>35.268000000000001</v>
      </c>
      <c r="AF25" s="284">
        <f t="shared" si="23"/>
        <v>36.564999999999998</v>
      </c>
    </row>
    <row r="26" spans="1:32">
      <c r="A26" s="162" t="s">
        <v>68</v>
      </c>
      <c r="B26" s="211" t="s">
        <v>325</v>
      </c>
      <c r="C26" s="162">
        <v>205</v>
      </c>
      <c r="D26" s="162">
        <v>4</v>
      </c>
      <c r="E26" s="162">
        <v>11</v>
      </c>
      <c r="F26" s="162" t="s">
        <v>17</v>
      </c>
      <c r="G26" s="162" t="s">
        <v>18</v>
      </c>
      <c r="H26" s="269">
        <f t="shared" si="14"/>
        <v>37.289000000000001</v>
      </c>
      <c r="I26" s="269"/>
      <c r="J26" s="269"/>
      <c r="K26" s="269"/>
      <c r="L26" s="269"/>
      <c r="M26" s="269"/>
      <c r="N26" s="269"/>
      <c r="O26" s="526" t="s">
        <v>68</v>
      </c>
      <c r="P26" s="538" t="s">
        <v>325</v>
      </c>
      <c r="Q26" s="526">
        <v>11</v>
      </c>
      <c r="R26" s="571">
        <f t="shared" si="1"/>
        <v>39.029122542099998</v>
      </c>
      <c r="S26" s="571"/>
      <c r="T26" s="571"/>
      <c r="U26" s="571"/>
      <c r="V26" s="571"/>
      <c r="W26" s="571"/>
      <c r="X26" s="571"/>
      <c r="Y26" s="620"/>
      <c r="Z26" s="279" t="str">
        <f t="shared" si="2"/>
        <v>06030C</v>
      </c>
      <c r="AA26" s="279" t="str">
        <f t="shared" si="3"/>
        <v>Lead Pipe Layer I (Paving Const.)</v>
      </c>
      <c r="AB26" s="286">
        <f t="shared" si="4"/>
        <v>11</v>
      </c>
      <c r="AC26" s="284">
        <f t="shared" si="10"/>
        <v>37.289000000000001</v>
      </c>
    </row>
    <row r="27" spans="1:32">
      <c r="A27" s="162" t="s">
        <v>71</v>
      </c>
      <c r="B27" s="211" t="s">
        <v>379</v>
      </c>
      <c r="C27" s="162">
        <v>205</v>
      </c>
      <c r="D27" s="162">
        <v>4</v>
      </c>
      <c r="E27" s="162" t="s">
        <v>319</v>
      </c>
      <c r="F27" s="162" t="s">
        <v>17</v>
      </c>
      <c r="G27" s="162" t="s">
        <v>18</v>
      </c>
      <c r="H27" s="269">
        <f t="shared" ref="H27:H28" si="28">AC27</f>
        <v>34.149000000000001</v>
      </c>
      <c r="I27" s="269">
        <f t="shared" ref="I27:I28" si="29">AD27</f>
        <v>35.122999999999998</v>
      </c>
      <c r="J27" s="269">
        <f t="shared" ref="J27:J28" si="30">AE27</f>
        <v>36.127000000000002</v>
      </c>
      <c r="K27" s="269">
        <f t="shared" ref="K27:K28" si="31">AF27</f>
        <v>37.161999999999999</v>
      </c>
      <c r="L27" s="269"/>
      <c r="M27" s="269"/>
      <c r="N27" s="269"/>
      <c r="O27" s="526" t="s">
        <v>71</v>
      </c>
      <c r="P27" s="538" t="s">
        <v>379</v>
      </c>
      <c r="Q27" s="526" t="s">
        <v>319</v>
      </c>
      <c r="R27" s="571">
        <f t="shared" si="1"/>
        <v>35.888941369399987</v>
      </c>
      <c r="S27" s="571">
        <f t="shared" ref="S27:U28" si="32">(VLOOKUP($O27,Rates2024,S$8,0)+$P$4)*(1+$P$3)</f>
        <v>36.86328636959999</v>
      </c>
      <c r="T27" s="571">
        <f t="shared" si="32"/>
        <v>37.866884221999989</v>
      </c>
      <c r="U27" s="571">
        <f t="shared" si="32"/>
        <v>38.901985146000001</v>
      </c>
      <c r="V27" s="571"/>
      <c r="W27" s="571"/>
      <c r="X27" s="571"/>
      <c r="Y27" s="620"/>
      <c r="Z27" s="279" t="str">
        <f t="shared" si="2"/>
        <v>06035C</v>
      </c>
      <c r="AA27" s="279" t="str">
        <f t="shared" si="3"/>
        <v>Lead Pipe Layer I (Paving Const.) Apprentice I (1st 522 hours)</v>
      </c>
      <c r="AB27" s="286" t="str">
        <f t="shared" si="4"/>
        <v>32</v>
      </c>
      <c r="AC27" s="284">
        <f t="shared" si="10"/>
        <v>34.149000000000001</v>
      </c>
      <c r="AD27" s="284">
        <f t="shared" ref="AD27:AD28" si="33">ROUND(S27-1.74,3)</f>
        <v>35.122999999999998</v>
      </c>
      <c r="AE27" s="284">
        <f t="shared" ref="AE27:AE28" si="34">ROUND(T27-1.74,3)</f>
        <v>36.127000000000002</v>
      </c>
      <c r="AF27" s="284">
        <f t="shared" ref="AF27:AF28" si="35">ROUND(U27-1.74,3)</f>
        <v>37.161999999999999</v>
      </c>
    </row>
    <row r="28" spans="1:32">
      <c r="A28" s="162" t="s">
        <v>74</v>
      </c>
      <c r="B28" s="211" t="s">
        <v>326</v>
      </c>
      <c r="C28" s="162">
        <v>205</v>
      </c>
      <c r="D28" s="162">
        <v>4</v>
      </c>
      <c r="E28" s="162" t="s">
        <v>321</v>
      </c>
      <c r="F28" s="162" t="s">
        <v>17</v>
      </c>
      <c r="G28" s="162" t="s">
        <v>18</v>
      </c>
      <c r="H28" s="269">
        <f t="shared" si="28"/>
        <v>34.67</v>
      </c>
      <c r="I28" s="269">
        <f t="shared" si="29"/>
        <v>35.645000000000003</v>
      </c>
      <c r="J28" s="269">
        <f t="shared" si="30"/>
        <v>36.649000000000001</v>
      </c>
      <c r="K28" s="269">
        <f t="shared" si="31"/>
        <v>37.683</v>
      </c>
      <c r="L28" s="269"/>
      <c r="M28" s="269"/>
      <c r="N28" s="269"/>
      <c r="O28" s="526" t="s">
        <v>74</v>
      </c>
      <c r="P28" s="538" t="s">
        <v>326</v>
      </c>
      <c r="Q28" s="526" t="s">
        <v>321</v>
      </c>
      <c r="R28" s="571">
        <f t="shared" si="1"/>
        <v>36.409867160499992</v>
      </c>
      <c r="S28" s="571">
        <f t="shared" si="32"/>
        <v>37.385337270399994</v>
      </c>
      <c r="T28" s="571">
        <f t="shared" si="32"/>
        <v>38.3889351228</v>
      </c>
      <c r="U28" s="571">
        <f t="shared" si="32"/>
        <v>39.422910937099999</v>
      </c>
      <c r="V28" s="571"/>
      <c r="W28" s="571"/>
      <c r="X28" s="571"/>
      <c r="Y28" s="620"/>
      <c r="Z28" s="279" t="str">
        <f t="shared" si="2"/>
        <v>06037C</v>
      </c>
      <c r="AA28" s="279" t="str">
        <f t="shared" si="3"/>
        <v>Lead Pipe Layer I (Paving Const.) Apprentice II (2nd 522 hours)</v>
      </c>
      <c r="AB28" s="286" t="str">
        <f t="shared" si="4"/>
        <v>33</v>
      </c>
      <c r="AC28" s="284">
        <f t="shared" si="10"/>
        <v>34.67</v>
      </c>
      <c r="AD28" s="284">
        <f t="shared" si="33"/>
        <v>35.645000000000003</v>
      </c>
      <c r="AE28" s="284">
        <f t="shared" si="34"/>
        <v>36.649000000000001</v>
      </c>
      <c r="AF28" s="284">
        <f t="shared" si="35"/>
        <v>37.683</v>
      </c>
    </row>
    <row r="29" spans="1:32">
      <c r="A29" s="162" t="s">
        <v>77</v>
      </c>
      <c r="B29" s="211" t="s">
        <v>327</v>
      </c>
      <c r="C29" s="162">
        <v>205</v>
      </c>
      <c r="D29" s="162">
        <v>4</v>
      </c>
      <c r="E29" s="162" t="s">
        <v>76</v>
      </c>
      <c r="F29" s="162" t="s">
        <v>17</v>
      </c>
      <c r="G29" s="162" t="s">
        <v>18</v>
      </c>
      <c r="H29" s="269">
        <f t="shared" si="14"/>
        <v>37.640999999999998</v>
      </c>
      <c r="I29" s="269"/>
      <c r="J29" s="269"/>
      <c r="K29" s="269"/>
      <c r="L29" s="269"/>
      <c r="M29" s="269"/>
      <c r="N29" s="269"/>
      <c r="O29" s="526" t="s">
        <v>77</v>
      </c>
      <c r="P29" s="538" t="s">
        <v>327</v>
      </c>
      <c r="Q29" s="526" t="s">
        <v>76</v>
      </c>
      <c r="R29" s="571">
        <f t="shared" si="1"/>
        <v>39.381281878199992</v>
      </c>
      <c r="S29" s="571"/>
      <c r="T29" s="571"/>
      <c r="U29" s="571"/>
      <c r="V29" s="571"/>
      <c r="W29" s="571"/>
      <c r="X29" s="571"/>
      <c r="Y29" s="620"/>
      <c r="Z29" s="279" t="str">
        <f t="shared" si="2"/>
        <v>06050C</v>
      </c>
      <c r="AA29" s="279" t="str">
        <f t="shared" si="3"/>
        <v>Lead Pipe Layer II (Water Const.)</v>
      </c>
      <c r="AB29" s="286" t="str">
        <f t="shared" si="4"/>
        <v>14</v>
      </c>
      <c r="AC29" s="284">
        <f t="shared" si="10"/>
        <v>37.640999999999998</v>
      </c>
    </row>
    <row r="30" spans="1:32">
      <c r="A30" s="162" t="s">
        <v>80</v>
      </c>
      <c r="B30" s="211" t="s">
        <v>328</v>
      </c>
      <c r="C30" s="162">
        <v>205</v>
      </c>
      <c r="D30" s="162">
        <v>4</v>
      </c>
      <c r="E30" s="162" t="s">
        <v>319</v>
      </c>
      <c r="F30" s="162" t="s">
        <v>17</v>
      </c>
      <c r="G30" s="162" t="s">
        <v>18</v>
      </c>
      <c r="H30" s="269">
        <f t="shared" ref="H30:H32" si="36">AC30</f>
        <v>34.149000000000001</v>
      </c>
      <c r="I30" s="269">
        <f t="shared" ref="I30:I32" si="37">AD30</f>
        <v>35.122999999999998</v>
      </c>
      <c r="J30" s="269">
        <f t="shared" ref="J30:J32" si="38">AE30</f>
        <v>36.127000000000002</v>
      </c>
      <c r="K30" s="269">
        <f t="shared" ref="K30:K32" si="39">AF30</f>
        <v>37.161999999999999</v>
      </c>
      <c r="L30" s="269"/>
      <c r="M30" s="269"/>
      <c r="N30" s="269"/>
      <c r="O30" s="526" t="s">
        <v>80</v>
      </c>
      <c r="P30" s="538" t="s">
        <v>328</v>
      </c>
      <c r="Q30" s="526" t="s">
        <v>319</v>
      </c>
      <c r="R30" s="571">
        <f t="shared" si="1"/>
        <v>35.888941369399987</v>
      </c>
      <c r="S30" s="571">
        <f t="shared" ref="S30:U32" si="40">(VLOOKUP($O30,Rates2024,S$8,0)+$P$4)*(1+$P$3)</f>
        <v>36.86328636959999</v>
      </c>
      <c r="T30" s="571">
        <f t="shared" si="40"/>
        <v>37.866884221999989</v>
      </c>
      <c r="U30" s="571">
        <f t="shared" si="40"/>
        <v>38.901985146000001</v>
      </c>
      <c r="V30" s="571"/>
      <c r="W30" s="571"/>
      <c r="X30" s="571"/>
      <c r="Y30" s="620"/>
      <c r="Z30" s="279" t="str">
        <f t="shared" si="2"/>
        <v>06056C</v>
      </c>
      <c r="AA30" s="279" t="str">
        <f t="shared" si="3"/>
        <v>Lead Pipe Layer II (Water Const.) Apprentice I (1st 522 hours)</v>
      </c>
      <c r="AB30" s="286" t="str">
        <f t="shared" si="4"/>
        <v>32</v>
      </c>
      <c r="AC30" s="284">
        <f t="shared" si="10"/>
        <v>34.149000000000001</v>
      </c>
      <c r="AD30" s="284">
        <f t="shared" ref="AD30:AD32" si="41">ROUND(S30-1.74,3)</f>
        <v>35.122999999999998</v>
      </c>
      <c r="AE30" s="284">
        <f t="shared" ref="AE30:AE32" si="42">ROUND(T30-1.74,3)</f>
        <v>36.127000000000002</v>
      </c>
      <c r="AF30" s="284">
        <f t="shared" ref="AF30:AF32" si="43">ROUND(U30-1.74,3)</f>
        <v>37.161999999999999</v>
      </c>
    </row>
    <row r="31" spans="1:32">
      <c r="A31" s="162" t="s">
        <v>83</v>
      </c>
      <c r="B31" s="211" t="s">
        <v>329</v>
      </c>
      <c r="C31" s="162">
        <v>205</v>
      </c>
      <c r="D31" s="162">
        <v>4</v>
      </c>
      <c r="E31" s="162" t="s">
        <v>321</v>
      </c>
      <c r="F31" s="162" t="s">
        <v>17</v>
      </c>
      <c r="G31" s="162" t="s">
        <v>18</v>
      </c>
      <c r="H31" s="269">
        <f t="shared" si="36"/>
        <v>34.67</v>
      </c>
      <c r="I31" s="269">
        <f t="shared" si="37"/>
        <v>35.645000000000003</v>
      </c>
      <c r="J31" s="269">
        <f t="shared" si="38"/>
        <v>36.649000000000001</v>
      </c>
      <c r="K31" s="269">
        <f t="shared" si="39"/>
        <v>37.683</v>
      </c>
      <c r="L31" s="269"/>
      <c r="M31" s="269"/>
      <c r="N31" s="269"/>
      <c r="O31" s="526" t="s">
        <v>83</v>
      </c>
      <c r="P31" s="538" t="s">
        <v>329</v>
      </c>
      <c r="Q31" s="526" t="s">
        <v>321</v>
      </c>
      <c r="R31" s="571">
        <f t="shared" si="1"/>
        <v>36.409867160499992</v>
      </c>
      <c r="S31" s="571">
        <f t="shared" si="40"/>
        <v>37.385337270399994</v>
      </c>
      <c r="T31" s="571">
        <f t="shared" si="40"/>
        <v>38.3889351228</v>
      </c>
      <c r="U31" s="571">
        <f t="shared" si="40"/>
        <v>39.422910937099999</v>
      </c>
      <c r="V31" s="571"/>
      <c r="W31" s="571"/>
      <c r="X31" s="571"/>
      <c r="Y31" s="620"/>
      <c r="Z31" s="279" t="str">
        <f t="shared" si="2"/>
        <v>06057C</v>
      </c>
      <c r="AA31" s="279" t="str">
        <f t="shared" si="3"/>
        <v>Lead Pipe Layer II (Water Const.) Apprentice II (2nd 522 hours)</v>
      </c>
      <c r="AB31" s="286" t="str">
        <f t="shared" si="4"/>
        <v>33</v>
      </c>
      <c r="AC31" s="284">
        <f t="shared" si="10"/>
        <v>34.67</v>
      </c>
      <c r="AD31" s="284">
        <f t="shared" si="41"/>
        <v>35.645000000000003</v>
      </c>
      <c r="AE31" s="284">
        <f t="shared" si="42"/>
        <v>36.649000000000001</v>
      </c>
      <c r="AF31" s="284">
        <f t="shared" si="43"/>
        <v>37.683</v>
      </c>
    </row>
    <row r="32" spans="1:32">
      <c r="A32" s="162" t="s">
        <v>86</v>
      </c>
      <c r="B32" s="211" t="s">
        <v>331</v>
      </c>
      <c r="C32" s="162">
        <v>205</v>
      </c>
      <c r="D32" s="162">
        <v>4</v>
      </c>
      <c r="E32" s="162" t="s">
        <v>330</v>
      </c>
      <c r="F32" s="162" t="s">
        <v>17</v>
      </c>
      <c r="G32" s="162" t="s">
        <v>18</v>
      </c>
      <c r="H32" s="269">
        <f t="shared" si="36"/>
        <v>34.966999999999999</v>
      </c>
      <c r="I32" s="269">
        <f t="shared" si="37"/>
        <v>35.942</v>
      </c>
      <c r="J32" s="269">
        <f t="shared" si="38"/>
        <v>36.945999999999998</v>
      </c>
      <c r="K32" s="269">
        <f t="shared" si="39"/>
        <v>37.981000000000002</v>
      </c>
      <c r="L32" s="269"/>
      <c r="M32" s="269"/>
      <c r="N32" s="269"/>
      <c r="O32" s="526" t="s">
        <v>86</v>
      </c>
      <c r="P32" s="538" t="s">
        <v>331</v>
      </c>
      <c r="Q32" s="526" t="s">
        <v>330</v>
      </c>
      <c r="R32" s="571">
        <f t="shared" si="1"/>
        <v>36.706896121299998</v>
      </c>
      <c r="S32" s="571">
        <f t="shared" si="40"/>
        <v>37.682366231199993</v>
      </c>
      <c r="T32" s="571">
        <f t="shared" si="40"/>
        <v>38.685964083599991</v>
      </c>
      <c r="U32" s="571">
        <f t="shared" si="40"/>
        <v>39.721065007599996</v>
      </c>
      <c r="V32" s="571"/>
      <c r="W32" s="571"/>
      <c r="X32" s="571"/>
      <c r="Y32" s="620"/>
      <c r="Z32" s="279" t="str">
        <f t="shared" si="2"/>
        <v>06058C</v>
      </c>
      <c r="AA32" s="279" t="str">
        <f t="shared" si="3"/>
        <v>Lead Pipe Layer II (Water Const.) Apprentice III (3rd 522 hours)</v>
      </c>
      <c r="AB32" s="286" t="str">
        <f t="shared" si="4"/>
        <v>34</v>
      </c>
      <c r="AC32" s="284">
        <f t="shared" si="10"/>
        <v>34.966999999999999</v>
      </c>
      <c r="AD32" s="284">
        <f t="shared" si="41"/>
        <v>35.942</v>
      </c>
      <c r="AE32" s="284">
        <f t="shared" si="42"/>
        <v>36.945999999999998</v>
      </c>
      <c r="AF32" s="284">
        <f t="shared" si="43"/>
        <v>37.981000000000002</v>
      </c>
    </row>
    <row r="33" spans="1:34">
      <c r="A33" s="162" t="s">
        <v>90</v>
      </c>
      <c r="B33" s="211" t="s">
        <v>333</v>
      </c>
      <c r="C33" s="162">
        <v>205</v>
      </c>
      <c r="D33" s="162">
        <v>4</v>
      </c>
      <c r="E33" s="162" t="s">
        <v>332</v>
      </c>
      <c r="F33" s="162" t="s">
        <v>17</v>
      </c>
      <c r="G33" s="162" t="s">
        <v>18</v>
      </c>
      <c r="H33" s="269">
        <f t="shared" si="14"/>
        <v>39.401000000000003</v>
      </c>
      <c r="I33" s="269"/>
      <c r="J33" s="269"/>
      <c r="K33" s="269"/>
      <c r="L33" s="269"/>
      <c r="M33" s="269"/>
      <c r="N33" s="269"/>
      <c r="O33" s="526" t="s">
        <v>90</v>
      </c>
      <c r="P33" s="538" t="s">
        <v>333</v>
      </c>
      <c r="Q33" s="526" t="s">
        <v>332</v>
      </c>
      <c r="R33" s="571">
        <f t="shared" si="1"/>
        <v>41.140953449000001</v>
      </c>
      <c r="S33" s="571"/>
      <c r="T33" s="571"/>
      <c r="U33" s="571"/>
      <c r="V33" s="571"/>
      <c r="W33" s="571"/>
      <c r="X33" s="571"/>
      <c r="Y33" s="620"/>
      <c r="Z33" s="279" t="str">
        <f t="shared" si="2"/>
        <v>06066C</v>
      </c>
      <c r="AA33" s="279" t="str">
        <f t="shared" si="3"/>
        <v>Lead Pipe Layer III (Sewer Const.)</v>
      </c>
      <c r="AB33" s="286" t="str">
        <f t="shared" si="4"/>
        <v>31</v>
      </c>
      <c r="AC33" s="284">
        <f t="shared" si="10"/>
        <v>39.401000000000003</v>
      </c>
    </row>
    <row r="34" spans="1:34">
      <c r="A34" s="162" t="s">
        <v>93</v>
      </c>
      <c r="B34" s="211" t="s">
        <v>334</v>
      </c>
      <c r="C34" s="162">
        <v>205</v>
      </c>
      <c r="D34" s="162">
        <v>4</v>
      </c>
      <c r="E34" s="162" t="s">
        <v>319</v>
      </c>
      <c r="F34" s="162" t="s">
        <v>17</v>
      </c>
      <c r="G34" s="162" t="s">
        <v>18</v>
      </c>
      <c r="H34" s="269">
        <f t="shared" ref="H34:H36" si="44">AC34</f>
        <v>34.149000000000001</v>
      </c>
      <c r="I34" s="269">
        <f t="shared" ref="I34:I36" si="45">AD34</f>
        <v>35.122999999999998</v>
      </c>
      <c r="J34" s="269">
        <f t="shared" ref="J34:J36" si="46">AE34</f>
        <v>36.127000000000002</v>
      </c>
      <c r="K34" s="269">
        <f t="shared" ref="K34:K36" si="47">AF34</f>
        <v>37.161999999999999</v>
      </c>
      <c r="L34" s="269"/>
      <c r="M34" s="269"/>
      <c r="N34" s="269"/>
      <c r="O34" s="526" t="s">
        <v>93</v>
      </c>
      <c r="P34" s="538" t="s">
        <v>334</v>
      </c>
      <c r="Q34" s="526" t="s">
        <v>319</v>
      </c>
      <c r="R34" s="571">
        <f t="shared" si="1"/>
        <v>35.888941369399987</v>
      </c>
      <c r="S34" s="571">
        <f t="shared" ref="S34:U36" si="48">(VLOOKUP($O34,Rates2024,S$8,0)+$P$4)*(1+$P$3)</f>
        <v>36.86328636959999</v>
      </c>
      <c r="T34" s="571">
        <f t="shared" si="48"/>
        <v>37.866884221999989</v>
      </c>
      <c r="U34" s="571">
        <f t="shared" si="48"/>
        <v>38.901985146000001</v>
      </c>
      <c r="V34" s="571"/>
      <c r="W34" s="571"/>
      <c r="X34" s="571"/>
      <c r="Y34" s="620"/>
      <c r="Z34" s="279" t="str">
        <f t="shared" si="2"/>
        <v>06067C</v>
      </c>
      <c r="AA34" s="279" t="str">
        <f t="shared" si="3"/>
        <v>Lead Pipe Layer III (Sewer Const.) Apprentice I (1st 522 hours)</v>
      </c>
      <c r="AB34" s="286" t="str">
        <f t="shared" si="4"/>
        <v>32</v>
      </c>
      <c r="AC34" s="284">
        <f t="shared" si="10"/>
        <v>34.149000000000001</v>
      </c>
      <c r="AD34" s="284">
        <f t="shared" ref="AD34:AD36" si="49">ROUND(S34-1.74,3)</f>
        <v>35.122999999999998</v>
      </c>
      <c r="AE34" s="284">
        <f t="shared" ref="AE34:AE36" si="50">ROUND(T34-1.74,3)</f>
        <v>36.127000000000002</v>
      </c>
      <c r="AF34" s="284">
        <f t="shared" ref="AF34:AF36" si="51">ROUND(U34-1.74,3)</f>
        <v>37.161999999999999</v>
      </c>
    </row>
    <row r="35" spans="1:34">
      <c r="A35" s="162" t="s">
        <v>96</v>
      </c>
      <c r="B35" s="211" t="s">
        <v>335</v>
      </c>
      <c r="C35" s="162">
        <v>205</v>
      </c>
      <c r="D35" s="162">
        <v>4</v>
      </c>
      <c r="E35" s="162" t="s">
        <v>321</v>
      </c>
      <c r="F35" s="162" t="s">
        <v>17</v>
      </c>
      <c r="G35" s="162" t="s">
        <v>18</v>
      </c>
      <c r="H35" s="269">
        <f t="shared" si="44"/>
        <v>34.67</v>
      </c>
      <c r="I35" s="269">
        <f t="shared" si="45"/>
        <v>35.645000000000003</v>
      </c>
      <c r="J35" s="269">
        <f t="shared" si="46"/>
        <v>36.649000000000001</v>
      </c>
      <c r="K35" s="269">
        <f t="shared" si="47"/>
        <v>37.683</v>
      </c>
      <c r="L35" s="269"/>
      <c r="M35" s="269"/>
      <c r="N35" s="269"/>
      <c r="O35" s="526" t="s">
        <v>96</v>
      </c>
      <c r="P35" s="538" t="s">
        <v>335</v>
      </c>
      <c r="Q35" s="526" t="s">
        <v>321</v>
      </c>
      <c r="R35" s="571">
        <f t="shared" si="1"/>
        <v>36.409867160499992</v>
      </c>
      <c r="S35" s="571">
        <f t="shared" si="48"/>
        <v>37.385337270399994</v>
      </c>
      <c r="T35" s="571">
        <f t="shared" si="48"/>
        <v>38.3889351228</v>
      </c>
      <c r="U35" s="571">
        <f t="shared" si="48"/>
        <v>39.422910937099999</v>
      </c>
      <c r="V35" s="571"/>
      <c r="W35" s="571"/>
      <c r="X35" s="571"/>
      <c r="Y35" s="620"/>
      <c r="Z35" s="279" t="str">
        <f t="shared" si="2"/>
        <v>06068C</v>
      </c>
      <c r="AA35" s="279" t="str">
        <f t="shared" si="3"/>
        <v>Lead Pipe Layer III (Sewer Const.) Apprentice II (2nd 522 hours)</v>
      </c>
      <c r="AB35" s="286" t="str">
        <f t="shared" si="4"/>
        <v>33</v>
      </c>
      <c r="AC35" s="284">
        <f t="shared" si="10"/>
        <v>34.67</v>
      </c>
      <c r="AD35" s="284">
        <f t="shared" si="49"/>
        <v>35.645000000000003</v>
      </c>
      <c r="AE35" s="284">
        <f t="shared" si="50"/>
        <v>36.649000000000001</v>
      </c>
      <c r="AF35" s="284">
        <f t="shared" si="51"/>
        <v>37.683</v>
      </c>
    </row>
    <row r="36" spans="1:34">
      <c r="A36" s="162" t="s">
        <v>99</v>
      </c>
      <c r="B36" s="211" t="s">
        <v>336</v>
      </c>
      <c r="C36" s="162">
        <v>205</v>
      </c>
      <c r="D36" s="162">
        <v>4</v>
      </c>
      <c r="E36" s="162" t="s">
        <v>330</v>
      </c>
      <c r="F36" s="162" t="s">
        <v>17</v>
      </c>
      <c r="G36" s="162" t="s">
        <v>18</v>
      </c>
      <c r="H36" s="269">
        <f t="shared" si="44"/>
        <v>34.966999999999999</v>
      </c>
      <c r="I36" s="269">
        <f t="shared" si="45"/>
        <v>35.942</v>
      </c>
      <c r="J36" s="269">
        <f t="shared" si="46"/>
        <v>36.945999999999998</v>
      </c>
      <c r="K36" s="269">
        <f t="shared" si="47"/>
        <v>37.981000000000002</v>
      </c>
      <c r="L36" s="269"/>
      <c r="M36" s="269"/>
      <c r="N36" s="269"/>
      <c r="O36" s="526" t="s">
        <v>99</v>
      </c>
      <c r="P36" s="538" t="s">
        <v>336</v>
      </c>
      <c r="Q36" s="526" t="s">
        <v>330</v>
      </c>
      <c r="R36" s="571">
        <f t="shared" si="1"/>
        <v>36.706896121299998</v>
      </c>
      <c r="S36" s="571">
        <f t="shared" si="48"/>
        <v>37.682366231199993</v>
      </c>
      <c r="T36" s="571">
        <f t="shared" si="48"/>
        <v>38.685964083599991</v>
      </c>
      <c r="U36" s="571">
        <f t="shared" si="48"/>
        <v>39.721065007599996</v>
      </c>
      <c r="V36" s="571"/>
      <c r="W36" s="571"/>
      <c r="X36" s="571"/>
      <c r="Y36" s="620"/>
      <c r="Z36" s="279" t="str">
        <f t="shared" si="2"/>
        <v>06069C</v>
      </c>
      <c r="AA36" s="279" t="str">
        <f t="shared" si="3"/>
        <v>Lead Pipe Layer III (Sewer Const.) Apprentice III (3rd 522 hours)</v>
      </c>
      <c r="AB36" s="286" t="str">
        <f t="shared" si="4"/>
        <v>34</v>
      </c>
      <c r="AC36" s="284">
        <f t="shared" si="10"/>
        <v>34.966999999999999</v>
      </c>
      <c r="AD36" s="284">
        <f t="shared" si="49"/>
        <v>35.942</v>
      </c>
      <c r="AE36" s="284">
        <f t="shared" si="50"/>
        <v>36.945999999999998</v>
      </c>
      <c r="AF36" s="284">
        <f t="shared" si="51"/>
        <v>37.981000000000002</v>
      </c>
    </row>
    <row r="37" spans="1:34">
      <c r="A37" s="162" t="s">
        <v>101</v>
      </c>
      <c r="B37" s="211" t="s">
        <v>102</v>
      </c>
      <c r="C37" s="162">
        <v>273</v>
      </c>
      <c r="D37" s="162">
        <v>6</v>
      </c>
      <c r="E37" s="162" t="s">
        <v>332</v>
      </c>
      <c r="F37" s="162" t="s">
        <v>17</v>
      </c>
      <c r="G37" s="162" t="s">
        <v>18</v>
      </c>
      <c r="H37" s="269">
        <f t="shared" si="14"/>
        <v>39.401000000000003</v>
      </c>
      <c r="I37" s="269"/>
      <c r="J37" s="269"/>
      <c r="K37" s="269"/>
      <c r="L37" s="269"/>
      <c r="M37" s="269"/>
      <c r="N37" s="269"/>
      <c r="O37" s="526" t="s">
        <v>101</v>
      </c>
      <c r="P37" s="538" t="s">
        <v>102</v>
      </c>
      <c r="Q37" s="526" t="s">
        <v>332</v>
      </c>
      <c r="R37" s="571">
        <f t="shared" si="1"/>
        <v>41.140953449000001</v>
      </c>
      <c r="S37" s="571"/>
      <c r="T37" s="571"/>
      <c r="U37" s="571"/>
      <c r="V37" s="571"/>
      <c r="W37" s="571"/>
      <c r="X37" s="571"/>
      <c r="Y37" s="620"/>
      <c r="Z37" s="279" t="str">
        <f t="shared" si="2"/>
        <v>06462C</v>
      </c>
      <c r="AA37" s="279" t="str">
        <f t="shared" si="3"/>
        <v>Maintenance Crew Ldr - Bridge</v>
      </c>
      <c r="AB37" s="286" t="str">
        <f t="shared" si="4"/>
        <v>31</v>
      </c>
      <c r="AC37" s="284">
        <f t="shared" si="10"/>
        <v>39.401000000000003</v>
      </c>
    </row>
    <row r="38" spans="1:34">
      <c r="A38" s="162" t="s">
        <v>103</v>
      </c>
      <c r="B38" s="211" t="s">
        <v>104</v>
      </c>
      <c r="C38" s="162">
        <v>273</v>
      </c>
      <c r="D38" s="162">
        <v>6</v>
      </c>
      <c r="E38" s="162" t="s">
        <v>332</v>
      </c>
      <c r="F38" s="162" t="s">
        <v>17</v>
      </c>
      <c r="G38" s="162" t="s">
        <v>18</v>
      </c>
      <c r="H38" s="269">
        <f t="shared" si="14"/>
        <v>39.401000000000003</v>
      </c>
      <c r="I38" s="269"/>
      <c r="J38" s="269"/>
      <c r="K38" s="269"/>
      <c r="L38" s="269"/>
      <c r="M38" s="269"/>
      <c r="N38" s="269"/>
      <c r="O38" s="526" t="s">
        <v>103</v>
      </c>
      <c r="P38" s="538" t="s">
        <v>104</v>
      </c>
      <c r="Q38" s="526" t="s">
        <v>332</v>
      </c>
      <c r="R38" s="571">
        <f t="shared" si="1"/>
        <v>41.140953449000001</v>
      </c>
      <c r="S38" s="571"/>
      <c r="T38" s="571"/>
      <c r="U38" s="571"/>
      <c r="V38" s="571"/>
      <c r="W38" s="571"/>
      <c r="X38" s="571"/>
      <c r="Y38" s="620"/>
      <c r="Z38" s="279" t="str">
        <f t="shared" si="2"/>
        <v>06464C</v>
      </c>
      <c r="AA38" s="279" t="str">
        <f t="shared" si="3"/>
        <v>Maintenance Crew Ldr - Sewer</v>
      </c>
      <c r="AB38" s="286" t="str">
        <f t="shared" si="4"/>
        <v>31</v>
      </c>
      <c r="AC38" s="284">
        <f t="shared" si="10"/>
        <v>39.401000000000003</v>
      </c>
    </row>
    <row r="39" spans="1:34">
      <c r="A39" s="162" t="s">
        <v>105</v>
      </c>
      <c r="B39" s="211" t="s">
        <v>106</v>
      </c>
      <c r="C39" s="162">
        <v>273</v>
      </c>
      <c r="D39" s="162">
        <v>6</v>
      </c>
      <c r="E39" s="162" t="s">
        <v>332</v>
      </c>
      <c r="F39" s="162" t="s">
        <v>17</v>
      </c>
      <c r="G39" s="162" t="s">
        <v>18</v>
      </c>
      <c r="H39" s="269">
        <f t="shared" si="14"/>
        <v>39.401000000000003</v>
      </c>
      <c r="I39" s="269"/>
      <c r="J39" s="269"/>
      <c r="K39" s="269"/>
      <c r="L39" s="269"/>
      <c r="M39" s="269"/>
      <c r="N39" s="269"/>
      <c r="O39" s="526" t="s">
        <v>105</v>
      </c>
      <c r="P39" s="538" t="s">
        <v>106</v>
      </c>
      <c r="Q39" s="526" t="s">
        <v>332</v>
      </c>
      <c r="R39" s="571">
        <f t="shared" si="1"/>
        <v>41.140953449000001</v>
      </c>
      <c r="S39" s="571"/>
      <c r="T39" s="571"/>
      <c r="U39" s="571"/>
      <c r="V39" s="571"/>
      <c r="W39" s="571"/>
      <c r="X39" s="571"/>
      <c r="Y39" s="620"/>
      <c r="Z39" s="279" t="str">
        <f t="shared" si="2"/>
        <v>06465C</v>
      </c>
      <c r="AA39" s="279" t="str">
        <f t="shared" si="3"/>
        <v>Maintenance Crew Ldr - Sol Waste</v>
      </c>
      <c r="AB39" s="286" t="str">
        <f t="shared" si="4"/>
        <v>31</v>
      </c>
      <c r="AC39" s="284">
        <f t="shared" si="10"/>
        <v>39.401000000000003</v>
      </c>
    </row>
    <row r="40" spans="1:34">
      <c r="A40" s="162" t="s">
        <v>107</v>
      </c>
      <c r="B40" s="211" t="s">
        <v>108</v>
      </c>
      <c r="C40" s="162">
        <v>273</v>
      </c>
      <c r="D40" s="162">
        <v>6</v>
      </c>
      <c r="E40" s="162" t="s">
        <v>332</v>
      </c>
      <c r="F40" s="162" t="s">
        <v>17</v>
      </c>
      <c r="G40" s="162" t="s">
        <v>18</v>
      </c>
      <c r="H40" s="269">
        <f t="shared" si="14"/>
        <v>39.401000000000003</v>
      </c>
      <c r="I40" s="269"/>
      <c r="J40" s="269"/>
      <c r="K40" s="269"/>
      <c r="L40" s="269"/>
      <c r="M40" s="269"/>
      <c r="N40" s="269"/>
      <c r="O40" s="526" t="s">
        <v>107</v>
      </c>
      <c r="P40" s="538" t="s">
        <v>108</v>
      </c>
      <c r="Q40" s="526" t="s">
        <v>332</v>
      </c>
      <c r="R40" s="571">
        <f t="shared" si="1"/>
        <v>41.140953449000001</v>
      </c>
      <c r="S40" s="571"/>
      <c r="T40" s="571"/>
      <c r="U40" s="571"/>
      <c r="V40" s="571"/>
      <c r="W40" s="571"/>
      <c r="X40" s="571"/>
      <c r="Y40" s="620"/>
      <c r="Z40" s="279" t="str">
        <f t="shared" si="2"/>
        <v>06466C</v>
      </c>
      <c r="AA40" s="279" t="str">
        <f t="shared" si="3"/>
        <v>Maintenance Crew Ldr - Streets</v>
      </c>
      <c r="AB40" s="286" t="str">
        <f t="shared" si="4"/>
        <v>31</v>
      </c>
      <c r="AC40" s="284">
        <f t="shared" si="10"/>
        <v>39.401000000000003</v>
      </c>
    </row>
    <row r="41" spans="1:34">
      <c r="A41" s="162" t="s">
        <v>109</v>
      </c>
      <c r="B41" s="211" t="s">
        <v>110</v>
      </c>
      <c r="C41" s="162">
        <v>273</v>
      </c>
      <c r="D41" s="162">
        <v>6</v>
      </c>
      <c r="E41" s="162" t="s">
        <v>332</v>
      </c>
      <c r="F41" s="162" t="s">
        <v>17</v>
      </c>
      <c r="G41" s="162" t="s">
        <v>18</v>
      </c>
      <c r="H41" s="269">
        <f t="shared" si="14"/>
        <v>39.401000000000003</v>
      </c>
      <c r="I41" s="269"/>
      <c r="J41" s="269"/>
      <c r="K41" s="269"/>
      <c r="L41" s="269"/>
      <c r="M41" s="269"/>
      <c r="N41" s="269"/>
      <c r="O41" s="526" t="s">
        <v>109</v>
      </c>
      <c r="P41" s="538" t="s">
        <v>110</v>
      </c>
      <c r="Q41" s="526" t="s">
        <v>332</v>
      </c>
      <c r="R41" s="571">
        <f t="shared" si="1"/>
        <v>41.140953449000001</v>
      </c>
      <c r="S41" s="571"/>
      <c r="T41" s="571"/>
      <c r="U41" s="571"/>
      <c r="V41" s="571"/>
      <c r="W41" s="571"/>
      <c r="X41" s="571"/>
      <c r="Y41" s="620"/>
      <c r="Z41" s="279" t="str">
        <f t="shared" si="2"/>
        <v>06468C</v>
      </c>
      <c r="AA41" s="279" t="str">
        <f t="shared" si="3"/>
        <v>Maintenance Crew Ldr - Traffic</v>
      </c>
      <c r="AB41" s="286" t="str">
        <f t="shared" si="4"/>
        <v>31</v>
      </c>
      <c r="AC41" s="284">
        <f t="shared" si="10"/>
        <v>39.401000000000003</v>
      </c>
    </row>
    <row r="42" spans="1:34">
      <c r="A42" s="162" t="s">
        <v>112</v>
      </c>
      <c r="B42" s="211" t="s">
        <v>510</v>
      </c>
      <c r="C42" s="162">
        <v>253</v>
      </c>
      <c r="D42" s="162">
        <v>5</v>
      </c>
      <c r="E42" s="162" t="s">
        <v>509</v>
      </c>
      <c r="F42" s="162" t="s">
        <v>17</v>
      </c>
      <c r="G42" s="162" t="s">
        <v>18</v>
      </c>
      <c r="H42" s="269">
        <f t="shared" si="14"/>
        <v>38.576000000000001</v>
      </c>
      <c r="I42" s="269"/>
      <c r="J42" s="269"/>
      <c r="K42" s="269"/>
      <c r="L42" s="269"/>
      <c r="M42" s="269"/>
      <c r="N42" s="269"/>
      <c r="O42" s="526" t="s">
        <v>112</v>
      </c>
      <c r="P42" s="538" t="s">
        <v>510</v>
      </c>
      <c r="Q42" s="526" t="s">
        <v>509</v>
      </c>
      <c r="R42" s="571">
        <f t="shared" si="1"/>
        <v>40.316248038899992</v>
      </c>
      <c r="S42" s="571"/>
      <c r="T42" s="571"/>
      <c r="U42" s="571"/>
      <c r="V42" s="571"/>
      <c r="W42" s="571"/>
      <c r="X42" s="571"/>
      <c r="Y42" s="620"/>
      <c r="Z42" s="279" t="str">
        <f t="shared" si="2"/>
        <v>07440C</v>
      </c>
      <c r="AA42" s="279" t="str">
        <f t="shared" si="3"/>
        <v>Parking Meter Technician</v>
      </c>
      <c r="AB42" s="286" t="str">
        <f t="shared" si="4"/>
        <v>39</v>
      </c>
      <c r="AC42" s="284">
        <f t="shared" si="10"/>
        <v>38.576000000000001</v>
      </c>
    </row>
    <row r="43" spans="1:34">
      <c r="A43" s="162" t="s">
        <v>115</v>
      </c>
      <c r="B43" s="211" t="s">
        <v>116</v>
      </c>
      <c r="C43" s="162">
        <v>215</v>
      </c>
      <c r="D43" s="162">
        <v>4</v>
      </c>
      <c r="E43" s="162" t="s">
        <v>114</v>
      </c>
      <c r="F43" s="162" t="s">
        <v>17</v>
      </c>
      <c r="G43" s="162" t="s">
        <v>18</v>
      </c>
      <c r="H43" s="269">
        <f t="shared" si="14"/>
        <v>34.718000000000004</v>
      </c>
      <c r="I43" s="269"/>
      <c r="J43" s="269"/>
      <c r="K43" s="269"/>
      <c r="L43" s="269"/>
      <c r="M43" s="269"/>
      <c r="N43" s="269"/>
      <c r="O43" s="526" t="s">
        <v>115</v>
      </c>
      <c r="P43" s="538" t="s">
        <v>116</v>
      </c>
      <c r="Q43" s="526" t="s">
        <v>114</v>
      </c>
      <c r="R43" s="571">
        <f t="shared" si="1"/>
        <v>36.458246877599997</v>
      </c>
      <c r="S43" s="571"/>
      <c r="T43" s="571"/>
      <c r="U43" s="571"/>
      <c r="V43" s="571"/>
      <c r="W43" s="571"/>
      <c r="X43" s="571"/>
      <c r="Y43" s="620"/>
      <c r="Z43" s="279" t="str">
        <f t="shared" si="2"/>
        <v>07940C</v>
      </c>
      <c r="AA43" s="279" t="str">
        <f t="shared" si="3"/>
        <v>Plant Service Worker</v>
      </c>
      <c r="AB43" s="286" t="str">
        <f t="shared" si="4"/>
        <v>07</v>
      </c>
      <c r="AC43" s="284">
        <f t="shared" si="10"/>
        <v>34.718000000000004</v>
      </c>
    </row>
    <row r="44" spans="1:34">
      <c r="A44" s="162" t="s">
        <v>119</v>
      </c>
      <c r="B44" s="211" t="s">
        <v>120</v>
      </c>
      <c r="C44" s="162">
        <v>335</v>
      </c>
      <c r="D44" s="162">
        <v>7</v>
      </c>
      <c r="E44" s="162" t="s">
        <v>118</v>
      </c>
      <c r="F44" s="162" t="s">
        <v>17</v>
      </c>
      <c r="G44" s="162" t="s">
        <v>18</v>
      </c>
      <c r="H44" s="269">
        <f t="shared" ref="H44:H45" si="52">AC44</f>
        <v>34.935000000000002</v>
      </c>
      <c r="I44" s="269">
        <f t="shared" ref="I44:I45" si="53">AD44</f>
        <v>36.575000000000003</v>
      </c>
      <c r="J44" s="269">
        <f t="shared" ref="J44:J45" si="54">AE44</f>
        <v>38.216999999999999</v>
      </c>
      <c r="K44" s="269">
        <f t="shared" ref="K44:K45" si="55">AF44</f>
        <v>39.853000000000002</v>
      </c>
      <c r="L44" s="269">
        <f t="shared" ref="L44" si="56">AG44</f>
        <v>41.494999999999997</v>
      </c>
      <c r="M44" s="269">
        <f t="shared" ref="M44" si="57">AH44</f>
        <v>43.14</v>
      </c>
      <c r="N44" s="269"/>
      <c r="O44" s="526" t="s">
        <v>119</v>
      </c>
      <c r="P44" s="538" t="s">
        <v>120</v>
      </c>
      <c r="Q44" s="526" t="s">
        <v>118</v>
      </c>
      <c r="R44" s="571">
        <f t="shared" si="1"/>
        <v>36.675393049699998</v>
      </c>
      <c r="S44" s="571">
        <f>(VLOOKUP($O44,Rates2024,S$8,0)+$P$4)*(1+$P$3)</f>
        <v>38.314677882600002</v>
      </c>
      <c r="T44" s="571">
        <f>(VLOOKUP($O44,Rates2024,T$8,0)+$P$4)*(1+$P$3)</f>
        <v>39.9573380446</v>
      </c>
      <c r="U44" s="571">
        <f>(VLOOKUP($O44,Rates2024,U$8,0)+$P$4)*(1+$P$3)</f>
        <v>41.593247548399994</v>
      </c>
      <c r="V44" s="571">
        <f>(VLOOKUP($O44,Rates2024,V$8,0)+$P$4)*(1+$P$3)</f>
        <v>43.234782600699994</v>
      </c>
      <c r="W44" s="571">
        <f>(VLOOKUP($O44,Rates2024,W$8,0)+$P$4)*(1+$P$3)</f>
        <v>44.879692982099996</v>
      </c>
      <c r="X44" s="571"/>
      <c r="Y44" s="620"/>
      <c r="Z44" s="279" t="str">
        <f t="shared" si="2"/>
        <v>02621C</v>
      </c>
      <c r="AA44" s="279" t="str">
        <f t="shared" si="3"/>
        <v>Pubic Works Equipment Dispatcher</v>
      </c>
      <c r="AB44" s="286" t="str">
        <f t="shared" si="4"/>
        <v>28</v>
      </c>
      <c r="AC44" s="284">
        <f t="shared" si="10"/>
        <v>34.935000000000002</v>
      </c>
      <c r="AD44" s="284">
        <f t="shared" ref="AD44" si="58">ROUND(S44-1.74,3)</f>
        <v>36.575000000000003</v>
      </c>
      <c r="AE44" s="284">
        <f t="shared" ref="AE44" si="59">ROUND(T44-1.74,3)</f>
        <v>38.216999999999999</v>
      </c>
      <c r="AF44" s="284">
        <f t="shared" ref="AF44" si="60">ROUND(U44-1.74,3)</f>
        <v>39.853000000000002</v>
      </c>
      <c r="AG44" s="284">
        <f t="shared" ref="AG44" si="61">ROUND(V44-1.74,3)</f>
        <v>41.494999999999997</v>
      </c>
      <c r="AH44" s="284">
        <f t="shared" ref="AH44" si="62">ROUND(W44-1.74,3)</f>
        <v>43.14</v>
      </c>
    </row>
    <row r="45" spans="1:34">
      <c r="A45" s="162" t="s">
        <v>121</v>
      </c>
      <c r="B45" s="211" t="s">
        <v>122</v>
      </c>
      <c r="C45" s="162">
        <v>230</v>
      </c>
      <c r="D45" s="162">
        <v>5</v>
      </c>
      <c r="E45" s="162" t="s">
        <v>19</v>
      </c>
      <c r="F45" s="162" t="s">
        <v>17</v>
      </c>
      <c r="G45" s="162" t="s">
        <v>18</v>
      </c>
      <c r="H45" s="269">
        <f t="shared" si="52"/>
        <v>33.924999999999997</v>
      </c>
      <c r="I45" s="269">
        <f t="shared" si="53"/>
        <v>34.899000000000001</v>
      </c>
      <c r="J45" s="269">
        <f t="shared" si="54"/>
        <v>35.904000000000003</v>
      </c>
      <c r="K45" s="269">
        <f t="shared" si="55"/>
        <v>36.938000000000002</v>
      </c>
      <c r="L45" s="269"/>
      <c r="M45" s="269"/>
      <c r="N45" s="269"/>
      <c r="O45" s="526" t="s">
        <v>121</v>
      </c>
      <c r="P45" s="538" t="s">
        <v>122</v>
      </c>
      <c r="Q45" s="526" t="s">
        <v>19</v>
      </c>
      <c r="R45" s="571">
        <f t="shared" si="1"/>
        <v>35.665044539099995</v>
      </c>
      <c r="S45" s="571">
        <f>(VLOOKUP($O45,Rates2024,S$8,0)+$P$4)*(1+$P$3)</f>
        <v>36.639389539299991</v>
      </c>
      <c r="T45" s="571">
        <f>(VLOOKUP($O45,Rates2024,T$8,0)+$P$4)*(1+$P$3)</f>
        <v>37.644112501399995</v>
      </c>
      <c r="U45" s="571">
        <f>(VLOOKUP($O45,Rates2024,U$8,0)+$P$4)*(1+$P$3)</f>
        <v>38.678088315699988</v>
      </c>
      <c r="V45" s="571"/>
      <c r="W45" s="571"/>
      <c r="X45" s="571"/>
      <c r="Y45" s="620"/>
      <c r="Z45" s="279" t="str">
        <f t="shared" si="2"/>
        <v>08568C</v>
      </c>
      <c r="AA45" s="279" t="str">
        <f t="shared" si="3"/>
        <v xml:space="preserve">Public Works Service Worker I </v>
      </c>
      <c r="AB45" s="286" t="str">
        <f t="shared" si="4"/>
        <v>26</v>
      </c>
      <c r="AC45" s="284">
        <f t="shared" si="10"/>
        <v>33.924999999999997</v>
      </c>
      <c r="AD45" s="284">
        <f t="shared" ref="AD45:AF48" si="63">ROUND(S45-1.74,3)</f>
        <v>34.899000000000001</v>
      </c>
      <c r="AE45" s="284">
        <f t="shared" ref="AE45" si="64">ROUND(T45-1.74,3)</f>
        <v>35.904000000000003</v>
      </c>
      <c r="AF45" s="284">
        <f t="shared" ref="AF45" si="65">ROUND(U45-1.74,3)</f>
        <v>36.938000000000002</v>
      </c>
    </row>
    <row r="46" spans="1:34">
      <c r="A46" s="162" t="s">
        <v>126</v>
      </c>
      <c r="B46" s="211" t="s">
        <v>127</v>
      </c>
      <c r="C46" s="162">
        <v>230</v>
      </c>
      <c r="D46" s="162">
        <v>5</v>
      </c>
      <c r="E46" s="162" t="s">
        <v>124</v>
      </c>
      <c r="F46" s="162" t="s">
        <v>17</v>
      </c>
      <c r="G46" s="162" t="s">
        <v>18</v>
      </c>
      <c r="H46" s="269" t="str">
        <f>"6 months="&amp;TEXT(AC46,"$###.000")</f>
        <v>6 months=$24.088</v>
      </c>
      <c r="I46" s="270" t="str">
        <f>"After 6 months AND holds a CDL ="&amp;TEXT(AD46,"$###.000")</f>
        <v>After 6 months AND holds a CDL =$26.138</v>
      </c>
      <c r="J46" s="269"/>
      <c r="K46" s="269"/>
      <c r="L46" s="269"/>
      <c r="M46" s="269"/>
      <c r="N46" s="269"/>
      <c r="O46" s="526" t="s">
        <v>126</v>
      </c>
      <c r="P46" s="538" t="s">
        <v>127</v>
      </c>
      <c r="Q46" s="526" t="s">
        <v>124</v>
      </c>
      <c r="R46" s="571">
        <f t="shared" si="1"/>
        <v>24.087499999999999</v>
      </c>
      <c r="S46" s="571">
        <f>(VLOOKUP($O46,Rates2024,S$8,0)+$P$4)*(1+$P$3)</f>
        <v>26.137499999999999</v>
      </c>
      <c r="T46" s="571"/>
      <c r="U46" s="571"/>
      <c r="V46" s="571"/>
      <c r="W46" s="571"/>
      <c r="X46" s="571"/>
      <c r="Y46" s="620"/>
      <c r="Z46" s="279" t="str">
        <f t="shared" si="2"/>
        <v>08564C</v>
      </c>
      <c r="AA46" s="279" t="str">
        <f t="shared" si="3"/>
        <v xml:space="preserve">Public Works Service Worker I - Trainee </v>
      </c>
      <c r="AB46" s="286" t="str">
        <f t="shared" si="4"/>
        <v>27</v>
      </c>
      <c r="AC46" s="284">
        <f>ROUND(R46,3)</f>
        <v>24.088000000000001</v>
      </c>
      <c r="AD46" s="284">
        <f>ROUND(S46,3)</f>
        <v>26.138000000000002</v>
      </c>
    </row>
    <row r="47" spans="1:34">
      <c r="A47" s="162" t="s">
        <v>131</v>
      </c>
      <c r="B47" s="211" t="s">
        <v>559</v>
      </c>
      <c r="C47" s="162">
        <v>318</v>
      </c>
      <c r="D47" s="162">
        <v>7</v>
      </c>
      <c r="E47" s="162" t="s">
        <v>130</v>
      </c>
      <c r="F47" s="162" t="s">
        <v>17</v>
      </c>
      <c r="G47" s="162" t="s">
        <v>18</v>
      </c>
      <c r="H47" s="269">
        <f t="shared" si="14"/>
        <v>43.323999999999998</v>
      </c>
      <c r="I47" s="269">
        <f t="shared" ref="I47" si="66">AD47</f>
        <v>44.417999999999999</v>
      </c>
      <c r="J47" s="269">
        <f t="shared" ref="J47" si="67">AE47</f>
        <v>45.725999999999999</v>
      </c>
      <c r="K47" s="269"/>
      <c r="L47" s="269"/>
      <c r="M47" s="269"/>
      <c r="N47" s="269"/>
      <c r="O47" s="526" t="s">
        <v>131</v>
      </c>
      <c r="P47" s="538" t="s">
        <v>559</v>
      </c>
      <c r="Q47" s="526" t="s">
        <v>130</v>
      </c>
      <c r="R47" s="571">
        <f t="shared" si="1"/>
        <v>45.0642109729</v>
      </c>
      <c r="S47" s="571">
        <f>(VLOOKUP($O47,Rates2024,S$8,0)+$P$4)*(1+$P$3)</f>
        <v>46.157817601300003</v>
      </c>
      <c r="T47" s="571">
        <f>(VLOOKUP($O47,Rates2024,T$8,0)+$P$4)*(1+$P$3)</f>
        <v>47.46632018239999</v>
      </c>
      <c r="U47" s="571"/>
      <c r="V47" s="571"/>
      <c r="W47" s="571"/>
      <c r="X47" s="571"/>
      <c r="Y47" s="620"/>
      <c r="Z47" s="279" t="str">
        <f t="shared" si="2"/>
        <v>09194C</v>
      </c>
      <c r="AA47" s="279" t="str">
        <f t="shared" si="3"/>
        <v>Senior Water Treatment Operator*</v>
      </c>
      <c r="AB47" s="286" t="str">
        <f t="shared" si="4"/>
        <v>30</v>
      </c>
      <c r="AC47" s="284">
        <f t="shared" si="10"/>
        <v>43.323999999999998</v>
      </c>
      <c r="AD47" s="284">
        <f t="shared" si="63"/>
        <v>44.417999999999999</v>
      </c>
      <c r="AE47" s="284">
        <f t="shared" si="63"/>
        <v>45.725999999999999</v>
      </c>
    </row>
    <row r="48" spans="1:34">
      <c r="A48" s="162" t="s">
        <v>134</v>
      </c>
      <c r="B48" s="211" t="s">
        <v>135</v>
      </c>
      <c r="C48" s="162">
        <v>310</v>
      </c>
      <c r="D48" s="162">
        <v>6</v>
      </c>
      <c r="E48" s="162" t="s">
        <v>133</v>
      </c>
      <c r="F48" s="162" t="s">
        <v>17</v>
      </c>
      <c r="G48" s="162" t="s">
        <v>18</v>
      </c>
      <c r="H48" s="269">
        <f t="shared" ref="H48" si="68">AC48</f>
        <v>34.829000000000001</v>
      </c>
      <c r="I48" s="269">
        <f t="shared" ref="I48" si="69">AD48</f>
        <v>36.396999999999998</v>
      </c>
      <c r="J48" s="269">
        <f t="shared" ref="J48" si="70">AE48</f>
        <v>37.938000000000002</v>
      </c>
      <c r="K48" s="269">
        <f t="shared" ref="K48" si="71">AF48</f>
        <v>39.594000000000001</v>
      </c>
      <c r="L48" s="269"/>
      <c r="M48" s="269"/>
      <c r="N48" s="269"/>
      <c r="O48" s="526" t="s">
        <v>134</v>
      </c>
      <c r="P48" s="538" t="s">
        <v>135</v>
      </c>
      <c r="Q48" s="526" t="s">
        <v>133</v>
      </c>
      <c r="R48" s="571">
        <f t="shared" si="1"/>
        <v>36.568507628199995</v>
      </c>
      <c r="S48" s="571">
        <f>(VLOOKUP($O48,Rates2024,S$8,0)+$P$4)*(1+$P$3)</f>
        <v>38.136910549999989</v>
      </c>
      <c r="T48" s="571">
        <f>(VLOOKUP($O48,Rates2024,T$8,0)+$P$4)*(1+$P$3)</f>
        <v>39.678310838999991</v>
      </c>
      <c r="U48" s="571">
        <f>(VLOOKUP($O48,Rates2024,U$8,0)+$P$4)*(1+$P$3)</f>
        <v>41.334472317399992</v>
      </c>
      <c r="V48" s="571"/>
      <c r="W48" s="571"/>
      <c r="X48" s="571"/>
      <c r="Y48" s="620"/>
      <c r="Z48" s="279" t="str">
        <f t="shared" si="2"/>
        <v>09184C</v>
      </c>
      <c r="AA48" s="279" t="str">
        <f t="shared" si="3"/>
        <v>Sewer Pumping Station Operator</v>
      </c>
      <c r="AB48" s="286" t="str">
        <f t="shared" si="4"/>
        <v>13</v>
      </c>
      <c r="AC48" s="284">
        <f t="shared" si="10"/>
        <v>34.829000000000001</v>
      </c>
      <c r="AD48" s="284">
        <f t="shared" si="63"/>
        <v>36.396999999999998</v>
      </c>
      <c r="AE48" s="284">
        <f t="shared" si="63"/>
        <v>37.938000000000002</v>
      </c>
      <c r="AF48" s="284">
        <f t="shared" si="63"/>
        <v>39.594000000000001</v>
      </c>
    </row>
    <row r="49" spans="1:35">
      <c r="A49" s="162" t="s">
        <v>136</v>
      </c>
      <c r="B49" s="211" t="s">
        <v>137</v>
      </c>
      <c r="C49" s="162">
        <v>258</v>
      </c>
      <c r="D49" s="162">
        <v>5</v>
      </c>
      <c r="E49" s="162" t="s">
        <v>111</v>
      </c>
      <c r="F49" s="162" t="s">
        <v>17</v>
      </c>
      <c r="G49" s="162" t="s">
        <v>18</v>
      </c>
      <c r="H49" s="269">
        <f t="shared" si="14"/>
        <v>36.938000000000002</v>
      </c>
      <c r="I49" s="269"/>
      <c r="J49" s="269"/>
      <c r="K49" s="269"/>
      <c r="L49" s="269"/>
      <c r="M49" s="269"/>
      <c r="N49" s="269"/>
      <c r="O49" s="526" t="s">
        <v>136</v>
      </c>
      <c r="P49" s="538" t="s">
        <v>137</v>
      </c>
      <c r="Q49" s="526" t="s">
        <v>111</v>
      </c>
      <c r="R49" s="571">
        <f t="shared" si="1"/>
        <v>38.678088315699988</v>
      </c>
      <c r="S49" s="571"/>
      <c r="T49" s="571"/>
      <c r="U49" s="571"/>
      <c r="V49" s="571"/>
      <c r="W49" s="571"/>
      <c r="X49" s="571"/>
      <c r="Y49" s="620"/>
      <c r="Z49" s="279" t="str">
        <f t="shared" si="2"/>
        <v>09220C</v>
      </c>
      <c r="AA49" s="279" t="str">
        <f t="shared" si="3"/>
        <v>Shop Repair Worker I</v>
      </c>
      <c r="AB49" s="286" t="str">
        <f t="shared" si="4"/>
        <v>12</v>
      </c>
      <c r="AC49" s="284">
        <f t="shared" si="10"/>
        <v>36.938000000000002</v>
      </c>
    </row>
    <row r="50" spans="1:35">
      <c r="A50" s="162" t="s">
        <v>138</v>
      </c>
      <c r="B50" s="211" t="s">
        <v>139</v>
      </c>
      <c r="C50" s="162">
        <v>295</v>
      </c>
      <c r="D50" s="162">
        <v>6</v>
      </c>
      <c r="E50" s="162" t="s">
        <v>308</v>
      </c>
      <c r="F50" s="162" t="s">
        <v>17</v>
      </c>
      <c r="G50" s="162" t="s">
        <v>18</v>
      </c>
      <c r="H50" s="269">
        <f t="shared" si="14"/>
        <v>39</v>
      </c>
      <c r="I50" s="269">
        <f t="shared" ref="I50" si="72">AD50</f>
        <v>39.935000000000002</v>
      </c>
      <c r="J50" s="269">
        <f t="shared" ref="J50" si="73">AE50</f>
        <v>40.869999999999997</v>
      </c>
      <c r="K50" s="269"/>
      <c r="L50" s="269"/>
      <c r="M50" s="269"/>
      <c r="N50" s="269"/>
      <c r="O50" s="526" t="s">
        <v>138</v>
      </c>
      <c r="P50" s="538" t="s">
        <v>139</v>
      </c>
      <c r="Q50" s="526" t="s">
        <v>308</v>
      </c>
      <c r="R50" s="571">
        <f t="shared" si="1"/>
        <v>40.740414395800002</v>
      </c>
      <c r="S50" s="571">
        <f t="shared" ref="S50:T52" si="74">(VLOOKUP($O50,Rates2024,S$8,0)+$P$4)*(1+$P$3)</f>
        <v>41.675380556499995</v>
      </c>
      <c r="T50" s="571">
        <f t="shared" si="74"/>
        <v>42.610346717199995</v>
      </c>
      <c r="U50" s="571"/>
      <c r="V50" s="571"/>
      <c r="W50" s="571"/>
      <c r="X50" s="571"/>
      <c r="Y50" s="620"/>
      <c r="Z50" s="279" t="str">
        <f t="shared" si="2"/>
        <v>09230C</v>
      </c>
      <c r="AA50" s="279" t="str">
        <f t="shared" si="3"/>
        <v>Shop Repair Worker II</v>
      </c>
      <c r="AB50" s="286" t="str">
        <f t="shared" si="4"/>
        <v>17</v>
      </c>
      <c r="AC50" s="284">
        <f t="shared" si="10"/>
        <v>39</v>
      </c>
      <c r="AD50" s="284">
        <f t="shared" ref="AD50:AD52" si="75">ROUND(S50-1.74,3)</f>
        <v>39.935000000000002</v>
      </c>
      <c r="AE50" s="284">
        <f t="shared" ref="AE50:AE52" si="76">ROUND(T50-1.74,3)</f>
        <v>40.869999999999997</v>
      </c>
    </row>
    <row r="51" spans="1:35">
      <c r="A51" s="162" t="s">
        <v>140</v>
      </c>
      <c r="B51" s="211" t="s">
        <v>141</v>
      </c>
      <c r="C51" s="162">
        <v>260</v>
      </c>
      <c r="D51" s="162">
        <v>5</v>
      </c>
      <c r="E51" s="162">
        <v>8</v>
      </c>
      <c r="F51" s="162" t="s">
        <v>17</v>
      </c>
      <c r="G51" s="162" t="s">
        <v>18</v>
      </c>
      <c r="H51" s="269">
        <f t="shared" ref="H51:H52" si="77">AC51</f>
        <v>27.125</v>
      </c>
      <c r="I51" s="269">
        <f t="shared" ref="I51:I52" si="78">AD51</f>
        <v>28.597000000000001</v>
      </c>
      <c r="J51" s="269">
        <f t="shared" ref="J51:J52" si="79">AE51</f>
        <v>31.132999999999999</v>
      </c>
      <c r="K51" s="269">
        <f t="shared" ref="K51:K52" si="80">AF51</f>
        <v>32.228000000000002</v>
      </c>
      <c r="L51" s="269">
        <f t="shared" ref="L51" si="81">AG51</f>
        <v>34.436</v>
      </c>
      <c r="M51" s="269">
        <f t="shared" ref="M51" si="82">AH51</f>
        <v>35.750999999999998</v>
      </c>
      <c r="N51" s="269">
        <f t="shared" ref="N51" si="83">AI51</f>
        <v>36.938000000000002</v>
      </c>
      <c r="O51" s="526" t="s">
        <v>140</v>
      </c>
      <c r="P51" s="538" t="s">
        <v>141</v>
      </c>
      <c r="Q51" s="526">
        <v>8</v>
      </c>
      <c r="R51" s="571">
        <f t="shared" si="1"/>
        <v>28.864881512299995</v>
      </c>
      <c r="S51" s="571">
        <f t="shared" si="74"/>
        <v>30.336524999899996</v>
      </c>
      <c r="T51" s="571">
        <f t="shared" si="74"/>
        <v>32.872522263699992</v>
      </c>
      <c r="U51" s="571">
        <f>(VLOOKUP($O51,Rates2024,U$8,0)+$P$4)*(1+$P$3)</f>
        <v>33.968379111499992</v>
      </c>
      <c r="V51" s="571">
        <f>(VLOOKUP($O51,Rates2024,V$8,0)+$P$4)*(1+$P$3)</f>
        <v>36.175844342899993</v>
      </c>
      <c r="W51" s="571">
        <f>(VLOOKUP($O51,Rates2024,W$8,0)+$P$4)*(1+$P$3)</f>
        <v>37.491097582199998</v>
      </c>
      <c r="X51" s="571">
        <f>(VLOOKUP($O51,Rates2024,X$8,0)+$P$4)*(1+$P$3)</f>
        <v>38.678088315699988</v>
      </c>
      <c r="Y51" s="620"/>
      <c r="Z51" s="279" t="str">
        <f t="shared" si="2"/>
        <v>09400C</v>
      </c>
      <c r="AA51" s="279" t="str">
        <f t="shared" si="3"/>
        <v>Stock Worker</v>
      </c>
      <c r="AB51" s="286">
        <f t="shared" si="4"/>
        <v>8</v>
      </c>
      <c r="AC51" s="284">
        <f t="shared" si="10"/>
        <v>27.125</v>
      </c>
      <c r="AD51" s="284">
        <f t="shared" si="75"/>
        <v>28.597000000000001</v>
      </c>
      <c r="AE51" s="284">
        <f t="shared" si="76"/>
        <v>31.132999999999999</v>
      </c>
      <c r="AF51" s="284">
        <f t="shared" ref="AF51:AF52" si="84">ROUND(U51-1.74,3)</f>
        <v>32.228000000000002</v>
      </c>
      <c r="AG51" s="284">
        <f t="shared" ref="AG51:AG52" si="85">ROUND(V51-1.74,3)</f>
        <v>34.436</v>
      </c>
      <c r="AH51" s="284">
        <f t="shared" ref="AH51:AH52" si="86">ROUND(W51-1.74,3)</f>
        <v>35.750999999999998</v>
      </c>
      <c r="AI51" s="284">
        <f t="shared" ref="AI51" si="87">ROUND(X51-1.74,3)</f>
        <v>36.938000000000002</v>
      </c>
    </row>
    <row r="52" spans="1:35">
      <c r="A52" s="162" t="s">
        <v>142</v>
      </c>
      <c r="B52" s="211" t="s">
        <v>143</v>
      </c>
      <c r="C52" s="162">
        <v>333</v>
      </c>
      <c r="D52" s="162">
        <v>7</v>
      </c>
      <c r="E52" s="162" t="s">
        <v>118</v>
      </c>
      <c r="F52" s="162" t="s">
        <v>17</v>
      </c>
      <c r="G52" s="162" t="s">
        <v>18</v>
      </c>
      <c r="H52" s="269">
        <f t="shared" si="77"/>
        <v>34.935000000000002</v>
      </c>
      <c r="I52" s="269">
        <f t="shared" si="78"/>
        <v>36.575000000000003</v>
      </c>
      <c r="J52" s="269">
        <f t="shared" si="79"/>
        <v>38.216999999999999</v>
      </c>
      <c r="K52" s="269">
        <f t="shared" si="80"/>
        <v>39.853000000000002</v>
      </c>
      <c r="L52" s="269">
        <f t="shared" ref="L52" si="88">AG52</f>
        <v>41.494999999999997</v>
      </c>
      <c r="M52" s="269">
        <f t="shared" ref="M52" si="89">AH52</f>
        <v>43.14</v>
      </c>
      <c r="N52" s="269"/>
      <c r="O52" s="526" t="s">
        <v>142</v>
      </c>
      <c r="P52" s="538" t="s">
        <v>143</v>
      </c>
      <c r="Q52" s="526" t="s">
        <v>118</v>
      </c>
      <c r="R52" s="571">
        <f t="shared" si="1"/>
        <v>36.675393049699998</v>
      </c>
      <c r="S52" s="571">
        <f t="shared" si="74"/>
        <v>38.314677882600002</v>
      </c>
      <c r="T52" s="571">
        <f t="shared" si="74"/>
        <v>39.9573380446</v>
      </c>
      <c r="U52" s="571">
        <f>(VLOOKUP($O52,Rates2024,U$8,0)+$P$4)*(1+$P$3)</f>
        <v>41.593247548399994</v>
      </c>
      <c r="V52" s="571">
        <f>(VLOOKUP($O52,Rates2024,V$8,0)+$P$4)*(1+$P$3)</f>
        <v>43.234782600699994</v>
      </c>
      <c r="W52" s="571">
        <f>(VLOOKUP($O52,Rates2024,W$8,0)+$P$4)*(1+$P$3)</f>
        <v>44.879692982099996</v>
      </c>
      <c r="X52" s="571"/>
      <c r="Y52" s="620"/>
      <c r="Z52" s="279" t="str">
        <f t="shared" si="2"/>
        <v>09284C</v>
      </c>
      <c r="AA52" s="279" t="str">
        <f t="shared" si="3"/>
        <v xml:space="preserve">Stores Center Coordinator   </v>
      </c>
      <c r="AB52" s="286" t="str">
        <f t="shared" si="4"/>
        <v>28</v>
      </c>
      <c r="AC52" s="284">
        <f t="shared" si="10"/>
        <v>34.935000000000002</v>
      </c>
      <c r="AD52" s="284">
        <f t="shared" si="75"/>
        <v>36.575000000000003</v>
      </c>
      <c r="AE52" s="284">
        <f t="shared" si="76"/>
        <v>38.216999999999999</v>
      </c>
      <c r="AF52" s="284">
        <f t="shared" si="84"/>
        <v>39.853000000000002</v>
      </c>
      <c r="AG52" s="284">
        <f t="shared" si="85"/>
        <v>41.494999999999997</v>
      </c>
      <c r="AH52" s="284">
        <f t="shared" si="86"/>
        <v>43.14</v>
      </c>
    </row>
    <row r="53" spans="1:35">
      <c r="A53" s="162" t="s">
        <v>384</v>
      </c>
      <c r="B53" s="211" t="s">
        <v>560</v>
      </c>
      <c r="C53" s="162" t="s">
        <v>561</v>
      </c>
      <c r="D53" s="162" t="s">
        <v>561</v>
      </c>
      <c r="E53" s="162" t="s">
        <v>383</v>
      </c>
      <c r="F53" s="162" t="s">
        <v>17</v>
      </c>
      <c r="G53" s="162" t="s">
        <v>18</v>
      </c>
      <c r="H53" s="269">
        <f t="shared" si="14"/>
        <v>42.241</v>
      </c>
      <c r="I53" s="269"/>
      <c r="J53" s="269"/>
      <c r="K53" s="269"/>
      <c r="L53" s="269"/>
      <c r="M53" s="269"/>
      <c r="N53" s="269"/>
      <c r="O53" s="526" t="s">
        <v>384</v>
      </c>
      <c r="P53" s="538" t="s">
        <v>560</v>
      </c>
      <c r="Q53" s="526" t="s">
        <v>383</v>
      </c>
      <c r="R53" s="571">
        <f>VLOOKUP($O53,Rates2024,R$8,0)*1.045</f>
        <v>42.240989999999996</v>
      </c>
      <c r="S53" s="571"/>
      <c r="T53" s="571"/>
      <c r="U53" s="571"/>
      <c r="V53" s="571"/>
      <c r="W53" s="571"/>
      <c r="X53" s="571"/>
      <c r="Y53" s="620"/>
      <c r="Z53" s="279" t="str">
        <f t="shared" si="2"/>
        <v>52931C</v>
      </c>
      <c r="AA53" s="279" t="str">
        <f t="shared" si="3"/>
        <v>Union Leader (Park Keeper Crew Leader) - determined by Pk Bd</v>
      </c>
      <c r="AB53" s="286" t="str">
        <f t="shared" si="4"/>
        <v>38</v>
      </c>
      <c r="AC53" s="284">
        <f>ROUND(R53,3)</f>
        <v>42.241</v>
      </c>
      <c r="AD53" s="284"/>
      <c r="AE53" s="284"/>
      <c r="AF53" s="284"/>
    </row>
    <row r="54" spans="1:35">
      <c r="A54" s="162" t="s">
        <v>513</v>
      </c>
      <c r="B54" s="211" t="s">
        <v>514</v>
      </c>
      <c r="C54" s="162">
        <v>335</v>
      </c>
      <c r="D54" s="162">
        <v>7</v>
      </c>
      <c r="E54" s="162" t="s">
        <v>512</v>
      </c>
      <c r="F54" s="162" t="s">
        <v>17</v>
      </c>
      <c r="G54" s="162" t="s">
        <v>18</v>
      </c>
      <c r="H54" s="269">
        <f t="shared" si="14"/>
        <v>39.752000000000002</v>
      </c>
      <c r="I54" s="269">
        <f t="shared" ref="I54:I57" si="90">AD54</f>
        <v>40.848999999999997</v>
      </c>
      <c r="J54" s="269">
        <f t="shared" ref="J54:J57" si="91">AE54</f>
        <v>41.976999999999997</v>
      </c>
      <c r="K54" s="269">
        <f t="shared" ref="K54:K57" si="92">AF54</f>
        <v>43.14</v>
      </c>
      <c r="L54" s="269"/>
      <c r="M54" s="269"/>
      <c r="N54" s="269"/>
      <c r="O54" s="526" t="s">
        <v>513</v>
      </c>
      <c r="P54" s="538" t="s">
        <v>514</v>
      </c>
      <c r="Q54" s="526" t="s">
        <v>512</v>
      </c>
      <c r="R54" s="571">
        <f t="shared" ref="R54:U57" si="93">(VLOOKUP($O54,Rates2024,R$8,0)+$P$4)*(1+$P$3)</f>
        <v>41.49198767539999</v>
      </c>
      <c r="S54" s="571">
        <f t="shared" si="93"/>
        <v>42.588969632899996</v>
      </c>
      <c r="T54" s="571">
        <f t="shared" si="93"/>
        <v>43.717454661999994</v>
      </c>
      <c r="U54" s="571">
        <f t="shared" si="93"/>
        <v>44.879692982099996</v>
      </c>
      <c r="V54" s="571"/>
      <c r="W54" s="571"/>
      <c r="X54" s="571"/>
      <c r="Y54" s="620"/>
      <c r="Z54" s="279" t="str">
        <f t="shared" si="2"/>
        <v>53050C</v>
      </c>
      <c r="AA54" s="279" t="str">
        <f t="shared" si="3"/>
        <v>Water Treatment Campus Coordinator</v>
      </c>
      <c r="AB54" s="286" t="str">
        <f t="shared" si="4"/>
        <v>41</v>
      </c>
      <c r="AC54" s="284">
        <f t="shared" si="10"/>
        <v>39.752000000000002</v>
      </c>
      <c r="AD54" s="284">
        <f t="shared" ref="AD54:AD57" si="94">ROUND(S54-1.74,3)</f>
        <v>40.848999999999997</v>
      </c>
      <c r="AE54" s="284">
        <f t="shared" ref="AE54:AE57" si="95">ROUND(T54-1.74,3)</f>
        <v>41.976999999999997</v>
      </c>
      <c r="AF54" s="284">
        <f t="shared" ref="AF54:AF57" si="96">ROUND(U54-1.74,3)</f>
        <v>43.14</v>
      </c>
    </row>
    <row r="55" spans="1:35">
      <c r="A55" s="162" t="s">
        <v>144</v>
      </c>
      <c r="B55" s="211" t="s">
        <v>145</v>
      </c>
      <c r="C55" s="162">
        <v>265</v>
      </c>
      <c r="D55" s="162">
        <v>5</v>
      </c>
      <c r="E55" s="162">
        <v>22</v>
      </c>
      <c r="F55" s="162" t="s">
        <v>17</v>
      </c>
      <c r="G55" s="162" t="s">
        <v>18</v>
      </c>
      <c r="H55" s="269">
        <f t="shared" si="14"/>
        <v>39.454000000000001</v>
      </c>
      <c r="I55" s="269">
        <f t="shared" si="90"/>
        <v>40.183</v>
      </c>
      <c r="J55" s="269">
        <f t="shared" si="91"/>
        <v>40.911000000000001</v>
      </c>
      <c r="K55" s="269">
        <f t="shared" si="92"/>
        <v>41.64</v>
      </c>
      <c r="L55" s="269"/>
      <c r="M55" s="269"/>
      <c r="N55" s="269"/>
      <c r="O55" s="526" t="s">
        <v>144</v>
      </c>
      <c r="P55" s="538" t="s">
        <v>145</v>
      </c>
      <c r="Q55" s="526">
        <v>22</v>
      </c>
      <c r="R55" s="571">
        <f t="shared" si="93"/>
        <v>41.193833604899993</v>
      </c>
      <c r="S55" s="571">
        <f t="shared" si="93"/>
        <v>41.922904690499998</v>
      </c>
      <c r="T55" s="571">
        <f t="shared" si="93"/>
        <v>42.650850666399997</v>
      </c>
      <c r="U55" s="571">
        <f t="shared" si="93"/>
        <v>43.379921752000008</v>
      </c>
      <c r="V55" s="571"/>
      <c r="W55" s="571"/>
      <c r="X55" s="571"/>
      <c r="Y55" s="620"/>
      <c r="Z55" s="279" t="str">
        <f t="shared" si="2"/>
        <v>10908C</v>
      </c>
      <c r="AA55" s="279" t="str">
        <f t="shared" si="3"/>
        <v>Water Treatment Operator* (see below for Step)</v>
      </c>
      <c r="AB55" s="286">
        <f t="shared" si="4"/>
        <v>22</v>
      </c>
      <c r="AC55" s="284">
        <f t="shared" si="10"/>
        <v>39.454000000000001</v>
      </c>
      <c r="AD55" s="284">
        <f t="shared" si="94"/>
        <v>40.183</v>
      </c>
      <c r="AE55" s="284">
        <f t="shared" si="95"/>
        <v>40.911000000000001</v>
      </c>
      <c r="AF55" s="284">
        <f t="shared" si="96"/>
        <v>41.64</v>
      </c>
    </row>
    <row r="56" spans="1:35">
      <c r="A56" s="162" t="s">
        <v>146</v>
      </c>
      <c r="B56" s="211" t="s">
        <v>147</v>
      </c>
      <c r="C56" s="162">
        <v>253</v>
      </c>
      <c r="D56" s="162">
        <v>5</v>
      </c>
      <c r="E56" s="162" t="s">
        <v>65</v>
      </c>
      <c r="F56" s="162" t="s">
        <v>17</v>
      </c>
      <c r="G56" s="162" t="s">
        <v>18</v>
      </c>
      <c r="H56" s="269">
        <f t="shared" si="14"/>
        <v>33.201999999999998</v>
      </c>
      <c r="I56" s="269">
        <f t="shared" si="90"/>
        <v>34.216000000000001</v>
      </c>
      <c r="J56" s="269">
        <f t="shared" si="91"/>
        <v>35.268000000000001</v>
      </c>
      <c r="K56" s="269">
        <f t="shared" si="92"/>
        <v>36.564999999999998</v>
      </c>
      <c r="L56" s="269"/>
      <c r="M56" s="269"/>
      <c r="N56" s="269"/>
      <c r="O56" s="526" t="s">
        <v>146</v>
      </c>
      <c r="P56" s="538" t="s">
        <v>147</v>
      </c>
      <c r="Q56" s="526" t="s">
        <v>65</v>
      </c>
      <c r="R56" s="571">
        <f t="shared" si="93"/>
        <v>34.941599001999997</v>
      </c>
      <c r="S56" s="571">
        <f t="shared" si="93"/>
        <v>35.956447951399987</v>
      </c>
      <c r="T56" s="571">
        <f t="shared" si="93"/>
        <v>37.008425520899991</v>
      </c>
      <c r="U56" s="571">
        <f t="shared" si="93"/>
        <v>38.304551895300001</v>
      </c>
      <c r="V56" s="571"/>
      <c r="W56" s="571"/>
      <c r="X56" s="571"/>
      <c r="Y56" s="620"/>
      <c r="Z56" s="279" t="str">
        <f t="shared" si="2"/>
        <v>11030C</v>
      </c>
      <c r="AA56" s="279" t="str">
        <f t="shared" si="3"/>
        <v>Yard Coordinator I</v>
      </c>
      <c r="AB56" s="286" t="str">
        <f t="shared" si="4"/>
        <v>06B</v>
      </c>
      <c r="AC56" s="284">
        <f t="shared" si="10"/>
        <v>33.201999999999998</v>
      </c>
      <c r="AD56" s="284">
        <f t="shared" si="94"/>
        <v>34.216000000000001</v>
      </c>
      <c r="AE56" s="284">
        <f t="shared" si="95"/>
        <v>35.268000000000001</v>
      </c>
      <c r="AF56" s="284">
        <f t="shared" si="96"/>
        <v>36.564999999999998</v>
      </c>
    </row>
    <row r="57" spans="1:35">
      <c r="A57" s="162" t="s">
        <v>148</v>
      </c>
      <c r="B57" s="211" t="s">
        <v>149</v>
      </c>
      <c r="C57" s="162">
        <v>275</v>
      </c>
      <c r="D57" s="162">
        <v>6</v>
      </c>
      <c r="E57" s="162">
        <v>13</v>
      </c>
      <c r="F57" s="162" t="s">
        <v>17</v>
      </c>
      <c r="G57" s="162" t="s">
        <v>18</v>
      </c>
      <c r="H57" s="269">
        <f t="shared" si="14"/>
        <v>34.829000000000001</v>
      </c>
      <c r="I57" s="269">
        <f t="shared" si="90"/>
        <v>36.396999999999998</v>
      </c>
      <c r="J57" s="269">
        <f t="shared" si="91"/>
        <v>37.938000000000002</v>
      </c>
      <c r="K57" s="269">
        <f t="shared" si="92"/>
        <v>39.594000000000001</v>
      </c>
      <c r="L57" s="269"/>
      <c r="M57" s="269"/>
      <c r="N57" s="269"/>
      <c r="O57" s="526" t="s">
        <v>148</v>
      </c>
      <c r="P57" s="538" t="s">
        <v>149</v>
      </c>
      <c r="Q57" s="526">
        <v>13</v>
      </c>
      <c r="R57" s="571">
        <f t="shared" si="93"/>
        <v>36.568507628199995</v>
      </c>
      <c r="S57" s="571">
        <f t="shared" si="93"/>
        <v>38.136910549999989</v>
      </c>
      <c r="T57" s="571">
        <f t="shared" si="93"/>
        <v>39.678310838999991</v>
      </c>
      <c r="U57" s="571">
        <f t="shared" si="93"/>
        <v>41.334472317399992</v>
      </c>
      <c r="V57" s="571"/>
      <c r="W57" s="571"/>
      <c r="X57" s="571"/>
      <c r="Y57" s="620"/>
      <c r="Z57" s="279" t="str">
        <f t="shared" si="2"/>
        <v>11040C</v>
      </c>
      <c r="AA57" s="279" t="str">
        <f t="shared" si="3"/>
        <v>Yard Coordinator II</v>
      </c>
      <c r="AB57" s="286">
        <f t="shared" si="4"/>
        <v>13</v>
      </c>
      <c r="AC57" s="284">
        <f t="shared" si="10"/>
        <v>34.829000000000001</v>
      </c>
      <c r="AD57" s="284">
        <f t="shared" si="94"/>
        <v>36.396999999999998</v>
      </c>
      <c r="AE57" s="284">
        <f t="shared" si="95"/>
        <v>37.938000000000002</v>
      </c>
      <c r="AF57" s="284">
        <f t="shared" si="96"/>
        <v>39.594000000000001</v>
      </c>
    </row>
    <row r="58" spans="1:35">
      <c r="A58" s="162"/>
      <c r="B58" s="211"/>
      <c r="C58" s="276"/>
      <c r="D58" s="276"/>
      <c r="E58" s="276"/>
      <c r="F58" s="276"/>
      <c r="G58" s="276"/>
      <c r="H58" s="269"/>
      <c r="I58" s="269"/>
      <c r="J58" s="269"/>
      <c r="O58" s="526"/>
      <c r="P58" s="538"/>
      <c r="Q58" s="571"/>
      <c r="R58" s="571"/>
      <c r="S58" s="571"/>
      <c r="T58" s="571"/>
    </row>
    <row r="59" spans="1:35">
      <c r="A59" s="406" t="s">
        <v>386</v>
      </c>
      <c r="B59" s="159"/>
      <c r="E59" s="162"/>
      <c r="F59" s="162"/>
      <c r="O59" s="539" t="s">
        <v>386</v>
      </c>
      <c r="P59" s="527"/>
      <c r="Q59" s="526"/>
    </row>
    <row r="60" spans="1:35">
      <c r="A60" s="389" t="s">
        <v>344</v>
      </c>
      <c r="B60" s="385"/>
      <c r="C60" s="386"/>
      <c r="D60" s="386"/>
      <c r="E60" s="388"/>
      <c r="F60" s="162"/>
      <c r="O60" s="540" t="s">
        <v>344</v>
      </c>
      <c r="P60" s="541"/>
      <c r="Q60" s="543"/>
    </row>
    <row r="61" spans="1:35">
      <c r="A61" s="390" t="s">
        <v>154</v>
      </c>
      <c r="B61" s="387" t="s">
        <v>457</v>
      </c>
      <c r="E61" s="162"/>
      <c r="F61" s="162"/>
      <c r="O61" s="544" t="s">
        <v>154</v>
      </c>
      <c r="P61" s="545" t="s">
        <v>457</v>
      </c>
      <c r="Q61" s="526"/>
    </row>
    <row r="62" spans="1:35">
      <c r="A62" s="390" t="s">
        <v>156</v>
      </c>
      <c r="B62" s="387" t="s">
        <v>458</v>
      </c>
      <c r="E62" s="162"/>
      <c r="F62" s="162"/>
      <c r="O62" s="544" t="s">
        <v>156</v>
      </c>
      <c r="P62" s="545" t="s">
        <v>458</v>
      </c>
      <c r="Q62" s="526"/>
    </row>
    <row r="63" spans="1:35">
      <c r="A63" s="390" t="s">
        <v>158</v>
      </c>
      <c r="B63" s="387" t="s">
        <v>459</v>
      </c>
      <c r="E63" s="162"/>
      <c r="F63" s="162"/>
      <c r="O63" s="544" t="s">
        <v>158</v>
      </c>
      <c r="P63" s="545" t="s">
        <v>459</v>
      </c>
      <c r="Q63" s="526"/>
    </row>
    <row r="64" spans="1:35">
      <c r="A64" s="159"/>
      <c r="B64" s="159"/>
      <c r="E64" s="162"/>
      <c r="F64" s="162"/>
      <c r="O64" s="527"/>
      <c r="P64" s="527"/>
      <c r="Q64" s="526"/>
    </row>
    <row r="65" spans="1:28">
      <c r="A65" s="385" t="s">
        <v>345</v>
      </c>
      <c r="B65" s="385"/>
      <c r="C65" s="386"/>
      <c r="D65" s="386"/>
      <c r="E65" s="388"/>
      <c r="F65" s="388"/>
      <c r="G65" s="388"/>
      <c r="O65" s="541" t="s">
        <v>345</v>
      </c>
      <c r="P65" s="541"/>
      <c r="Q65" s="543"/>
    </row>
    <row r="66" spans="1:28">
      <c r="A66" s="390" t="s">
        <v>154</v>
      </c>
      <c r="B66" s="392" t="s">
        <v>515</v>
      </c>
      <c r="C66" s="393"/>
      <c r="E66" s="162"/>
      <c r="F66" s="394"/>
      <c r="G66" s="394"/>
      <c r="O66" s="544" t="s">
        <v>154</v>
      </c>
      <c r="P66" s="545" t="s">
        <v>515</v>
      </c>
      <c r="Q66" s="526"/>
    </row>
    <row r="67" spans="1:28">
      <c r="A67" s="390" t="s">
        <v>156</v>
      </c>
      <c r="B67" s="392" t="s">
        <v>457</v>
      </c>
      <c r="C67" s="393"/>
      <c r="E67" s="162"/>
      <c r="F67" s="394"/>
      <c r="G67" s="394"/>
      <c r="O67" s="544" t="s">
        <v>156</v>
      </c>
      <c r="P67" s="545" t="s">
        <v>457</v>
      </c>
      <c r="Q67" s="526"/>
    </row>
    <row r="68" spans="1:28">
      <c r="A68" s="390" t="s">
        <v>158</v>
      </c>
      <c r="B68" s="392" t="s">
        <v>458</v>
      </c>
      <c r="C68" s="393"/>
      <c r="E68" s="162"/>
      <c r="F68" s="394"/>
      <c r="G68" s="394"/>
      <c r="O68" s="544" t="s">
        <v>158</v>
      </c>
      <c r="P68" s="545" t="s">
        <v>458</v>
      </c>
      <c r="Q68" s="526"/>
    </row>
    <row r="69" spans="1:28">
      <c r="A69" s="390" t="s">
        <v>170</v>
      </c>
      <c r="B69" s="392" t="s">
        <v>459</v>
      </c>
      <c r="C69" s="393"/>
      <c r="E69" s="162"/>
      <c r="F69" s="394"/>
      <c r="G69" s="394"/>
      <c r="O69" s="544" t="s">
        <v>170</v>
      </c>
      <c r="P69" s="545" t="s">
        <v>459</v>
      </c>
      <c r="Q69" s="526"/>
    </row>
    <row r="70" spans="1:28">
      <c r="A70" s="159"/>
      <c r="B70" s="159"/>
      <c r="E70" s="162"/>
      <c r="F70" s="162"/>
      <c r="O70" s="527"/>
      <c r="P70" s="527"/>
      <c r="Q70" s="526"/>
    </row>
    <row r="71" spans="1:28">
      <c r="A71" s="395" t="s">
        <v>562</v>
      </c>
      <c r="B71" s="159"/>
      <c r="E71" s="162"/>
      <c r="F71" s="162"/>
      <c r="O71" s="546" t="s">
        <v>562</v>
      </c>
      <c r="P71" s="527"/>
      <c r="Q71" s="526"/>
    </row>
    <row r="72" spans="1:28">
      <c r="A72" s="396" t="s">
        <v>447</v>
      </c>
      <c r="B72" s="159"/>
      <c r="E72" s="162"/>
      <c r="F72" s="162"/>
      <c r="O72" s="547" t="s">
        <v>447</v>
      </c>
      <c r="P72" s="527"/>
      <c r="Q72" s="526"/>
    </row>
    <row r="73" spans="1:28">
      <c r="A73" s="391" t="str">
        <f>"Plant Service Workers who hold a Class 'D' Water Supply Certificate shall receive an additional "&amp;TEXT(AA73,"$0.000")&amp;" per hour for all hours paid."</f>
        <v>Plant Service Workers who hold a Class 'D' Water Supply Certificate shall receive an additional $0.299 per hour for all hours paid.</v>
      </c>
      <c r="B73" s="159"/>
      <c r="E73" s="162"/>
      <c r="F73" s="162"/>
      <c r="O73" s="548" t="str">
        <f>"Plant Service Workers who hold a Class 'D' Water Supply Certificate shall receive an additional "&amp;TEXT(AA73,"$0.000")&amp;" per hour for all hours paid."</f>
        <v>Plant Service Workers who hold a Class 'D' Water Supply Certificate shall receive an additional $0.299 per hour for all hours paid.</v>
      </c>
      <c r="P73" s="527"/>
      <c r="Q73" s="526"/>
      <c r="U73" s="527"/>
      <c r="Y73" s="286" t="s">
        <v>445</v>
      </c>
      <c r="Z73" s="279" t="s">
        <v>389</v>
      </c>
      <c r="AA73" s="322">
        <v>0.29913665400353506</v>
      </c>
      <c r="AB73" s="279"/>
    </row>
    <row r="74" spans="1:28">
      <c r="A74" s="159"/>
      <c r="B74" s="159"/>
      <c r="E74" s="162"/>
      <c r="F74" s="162"/>
      <c r="O74" s="527"/>
      <c r="P74" s="527"/>
      <c r="Q74" s="526"/>
      <c r="U74" s="527"/>
      <c r="Y74" s="286"/>
      <c r="AB74" s="279"/>
    </row>
    <row r="75" spans="1:28">
      <c r="A75" s="396" t="s">
        <v>563</v>
      </c>
      <c r="B75" s="159"/>
      <c r="E75" s="162"/>
      <c r="F75" s="162"/>
      <c r="O75" s="547" t="s">
        <v>563</v>
      </c>
      <c r="P75" s="527"/>
      <c r="Q75" s="526"/>
      <c r="U75" s="527"/>
      <c r="Y75" s="286"/>
      <c r="AB75" s="279"/>
    </row>
    <row r="76" spans="1:28">
      <c r="A76" s="415" t="s">
        <v>564</v>
      </c>
      <c r="E76" s="162"/>
      <c r="F76" s="162"/>
      <c r="O76" s="549" t="s">
        <v>564</v>
      </c>
      <c r="Q76" s="526"/>
      <c r="U76" s="527"/>
      <c r="Y76" s="286"/>
      <c r="AB76" s="279"/>
    </row>
    <row r="77" spans="1:28">
      <c r="A77" s="415" t="s">
        <v>565</v>
      </c>
      <c r="E77" s="162"/>
      <c r="F77" s="162"/>
      <c r="O77" s="549" t="s">
        <v>565</v>
      </c>
      <c r="Q77" s="526"/>
      <c r="U77" s="527"/>
      <c r="Y77" s="286"/>
      <c r="AB77" s="279"/>
    </row>
    <row r="78" spans="1:28">
      <c r="A78" s="416" t="s">
        <v>566</v>
      </c>
      <c r="C78" s="417">
        <f>AA78</f>
        <v>0.29884387499999998</v>
      </c>
      <c r="E78" s="162"/>
      <c r="F78" s="162"/>
      <c r="O78" s="550" t="s">
        <v>566</v>
      </c>
      <c r="Q78" s="526"/>
      <c r="U78" s="527"/>
      <c r="Y78" s="286" t="s">
        <v>445</v>
      </c>
      <c r="Z78" s="279" t="s">
        <v>567</v>
      </c>
      <c r="AA78" s="322">
        <v>0.29884387499999998</v>
      </c>
      <c r="AB78" s="279"/>
    </row>
    <row r="79" spans="1:28">
      <c r="A79" s="416" t="s">
        <v>568</v>
      </c>
      <c r="C79" s="417">
        <f t="shared" ref="C79:C81" si="97">AA79</f>
        <v>0.53556249999999994</v>
      </c>
      <c r="E79" s="162"/>
      <c r="F79" s="162"/>
      <c r="O79" s="550" t="s">
        <v>568</v>
      </c>
      <c r="Q79" s="526"/>
      <c r="U79" s="527"/>
      <c r="Y79" s="286" t="s">
        <v>445</v>
      </c>
      <c r="Z79" s="279" t="s">
        <v>569</v>
      </c>
      <c r="AA79" s="322">
        <v>0.53556249999999994</v>
      </c>
      <c r="AB79" s="279"/>
    </row>
    <row r="80" spans="1:28">
      <c r="A80" s="416" t="s">
        <v>570</v>
      </c>
      <c r="C80" s="417">
        <f t="shared" si="97"/>
        <v>0.80334374999999991</v>
      </c>
      <c r="E80" s="162"/>
      <c r="F80" s="162"/>
      <c r="O80" s="550" t="s">
        <v>570</v>
      </c>
      <c r="Q80" s="526"/>
      <c r="U80" s="527"/>
      <c r="Y80" s="286" t="s">
        <v>445</v>
      </c>
      <c r="Z80" s="279" t="s">
        <v>571</v>
      </c>
      <c r="AA80" s="322">
        <v>0.80334374999999991</v>
      </c>
      <c r="AB80" s="279"/>
    </row>
    <row r="81" spans="1:28">
      <c r="A81" s="416" t="s">
        <v>572</v>
      </c>
      <c r="C81" s="417">
        <f t="shared" si="97"/>
        <v>1.0711249999999999</v>
      </c>
      <c r="E81" s="162"/>
      <c r="F81" s="162"/>
      <c r="O81" s="550" t="s">
        <v>572</v>
      </c>
      <c r="Q81" s="526"/>
      <c r="U81" s="527"/>
      <c r="Y81" s="286" t="s">
        <v>445</v>
      </c>
      <c r="Z81" s="279" t="s">
        <v>573</v>
      </c>
      <c r="AA81" s="322">
        <v>1.0711249999999999</v>
      </c>
      <c r="AB81" s="279"/>
    </row>
    <row r="82" spans="1:28">
      <c r="E82" s="162"/>
      <c r="F82" s="162"/>
      <c r="Q82" s="526"/>
      <c r="U82" s="527"/>
      <c r="Y82" s="286"/>
      <c r="AB82" s="279"/>
    </row>
    <row r="83" spans="1:28">
      <c r="A83" s="391" t="s">
        <v>574</v>
      </c>
      <c r="E83" s="162"/>
      <c r="F83" s="162"/>
      <c r="O83" s="548" t="s">
        <v>574</v>
      </c>
      <c r="Q83" s="526"/>
      <c r="U83" s="527"/>
      <c r="Y83" s="286"/>
      <c r="AB83" s="279"/>
    </row>
    <row r="84" spans="1:28">
      <c r="A84" s="391" t="s">
        <v>176</v>
      </c>
      <c r="E84" s="162"/>
      <c r="F84" s="162"/>
      <c r="O84" s="548" t="s">
        <v>176</v>
      </c>
      <c r="Q84" s="526"/>
      <c r="U84" s="527"/>
      <c r="Y84" s="286"/>
      <c r="AB84" s="279"/>
    </row>
    <row r="85" spans="1:28">
      <c r="E85" s="162"/>
      <c r="F85" s="162"/>
      <c r="Q85" s="526"/>
      <c r="U85" s="527"/>
      <c r="Y85" s="286"/>
      <c r="AB85" s="279"/>
    </row>
    <row r="86" spans="1:28">
      <c r="A86" s="418" t="s">
        <v>575</v>
      </c>
      <c r="E86" s="162"/>
      <c r="F86" s="162"/>
      <c r="O86" s="541" t="s">
        <v>575</v>
      </c>
      <c r="Q86" s="526"/>
      <c r="U86" s="527"/>
      <c r="Y86" s="286"/>
      <c r="AB86" s="279"/>
    </row>
    <row r="87" spans="1:28">
      <c r="A87" s="393" t="s">
        <v>527</v>
      </c>
      <c r="E87" s="162"/>
      <c r="F87" s="162"/>
      <c r="O87" s="551" t="s">
        <v>527</v>
      </c>
      <c r="Q87" s="526"/>
      <c r="U87" s="527"/>
      <c r="Y87" s="286"/>
      <c r="AB87" s="279"/>
    </row>
    <row r="88" spans="1:28">
      <c r="A88" s="397" t="str">
        <f>"duties, and shall receive a premium of "&amp;TEXT(AA88,"$0.000" )&amp;" per hour on an 'as worked' basis when so assigned."</f>
        <v>duties, and shall receive a premium of $2.227 per hour on an 'as worked' basis when so assigned.</v>
      </c>
      <c r="E88" s="162"/>
      <c r="F88" s="162"/>
      <c r="O88" s="552" t="str">
        <f>"duties, and shall receive a premium of "&amp;TEXT(AA88,"$0.000" )&amp;" per hour on an 'as worked' basis when so assigned."</f>
        <v>duties, and shall receive a premium of $2.227 per hour on an 'as worked' basis when so assigned.</v>
      </c>
      <c r="Q88" s="526"/>
      <c r="U88" s="527"/>
      <c r="Y88" s="286" t="s">
        <v>445</v>
      </c>
      <c r="Z88" s="279" t="s">
        <v>391</v>
      </c>
      <c r="AA88" s="322">
        <v>2.2270848104611014</v>
      </c>
      <c r="AB88" s="279"/>
    </row>
    <row r="89" spans="1:28">
      <c r="A89" s="397"/>
      <c r="E89" s="162"/>
      <c r="F89" s="162"/>
      <c r="O89" s="552"/>
      <c r="Q89" s="526"/>
      <c r="U89" s="527"/>
      <c r="Y89" s="286"/>
      <c r="AA89" s="322"/>
      <c r="AB89" s="279"/>
    </row>
    <row r="90" spans="1:28">
      <c r="A90" s="447" t="s">
        <v>576</v>
      </c>
      <c r="E90" s="162"/>
      <c r="F90" s="162"/>
      <c r="O90" s="553" t="s">
        <v>576</v>
      </c>
      <c r="Q90" s="526"/>
      <c r="U90" s="527"/>
      <c r="Y90" s="286"/>
      <c r="Z90" s="322"/>
      <c r="AB90" s="279"/>
    </row>
    <row r="91" spans="1:28">
      <c r="A91" s="222" t="str">
        <f>"Employees assigned to perform encampment cleanup or closure duties will receive a critical response premium of "&amp;TEXT(AA91,"$##0.000")&amp;" per hour"</f>
        <v>Employees assigned to perform encampment cleanup or closure duties will receive a critical response premium of $5.000 per hour</v>
      </c>
      <c r="E91" s="162"/>
      <c r="F91" s="162"/>
      <c r="O91" s="532" t="str">
        <f>"Employees assigned to perform encampment cleanup or closure duties will receive a critical response premium of "&amp;TEXT(AA91,"$##0.000")&amp;" per hour"</f>
        <v>Employees assigned to perform encampment cleanup or closure duties will receive a critical response premium of $5.000 per hour</v>
      </c>
      <c r="Q91" s="526"/>
      <c r="U91" s="527"/>
      <c r="Y91" s="286" t="s">
        <v>263</v>
      </c>
      <c r="Z91" s="279" t="s">
        <v>577</v>
      </c>
      <c r="AA91" s="322">
        <v>5</v>
      </c>
      <c r="AB91" s="279"/>
    </row>
    <row r="92" spans="1:28">
      <c r="A92" s="222" t="s">
        <v>578</v>
      </c>
      <c r="E92" s="162"/>
      <c r="F92" s="162"/>
      <c r="O92" s="532" t="s">
        <v>578</v>
      </c>
      <c r="Q92" s="526"/>
      <c r="U92" s="527"/>
      <c r="Y92" s="286"/>
      <c r="AB92" s="279"/>
    </row>
    <row r="93" spans="1:28">
      <c r="A93" s="397"/>
      <c r="E93" s="162"/>
      <c r="F93" s="162"/>
      <c r="O93" s="552"/>
      <c r="Q93" s="526"/>
      <c r="U93" s="527"/>
      <c r="Y93" s="286"/>
      <c r="AA93" s="322"/>
      <c r="AB93" s="279"/>
    </row>
    <row r="94" spans="1:28">
      <c r="A94" s="398" t="s">
        <v>579</v>
      </c>
      <c r="E94" s="162"/>
      <c r="F94" s="162"/>
      <c r="O94" s="554" t="s">
        <v>579</v>
      </c>
      <c r="Q94" s="526"/>
      <c r="U94" s="527"/>
      <c r="Y94" s="286"/>
      <c r="AA94" s="322"/>
      <c r="AB94" s="279"/>
    </row>
    <row r="95" spans="1:28">
      <c r="A95" s="444" t="s">
        <v>351</v>
      </c>
      <c r="E95" s="162"/>
      <c r="F95" s="162"/>
      <c r="O95" s="555" t="s">
        <v>351</v>
      </c>
      <c r="Q95" s="526"/>
      <c r="U95" s="527"/>
      <c r="Y95" s="286"/>
      <c r="AA95" s="322"/>
      <c r="AB95" s="279"/>
    </row>
    <row r="96" spans="1:28">
      <c r="A96" s="444" t="str">
        <f>"premium of "&amp;TEXT(AA96,"$0.000")&amp;" per hour for all hours spent training shall be paid.  The employer will establish strict assignment protocol."</f>
        <v>premium of $3.749 per hour for all hours spent training shall be paid.  The employer will establish strict assignment protocol.</v>
      </c>
      <c r="E96" s="162"/>
      <c r="F96" s="162"/>
      <c r="O96" s="555" t="str">
        <f>"premium of "&amp;TEXT(AA96,"$0.000")&amp;" per hour for all hours spent training shall be paid.  The employer will establish strict assignment protocol."</f>
        <v>premium of $3.749 per hour for all hours spent training shall be paid.  The employer will establish strict assignment protocol.</v>
      </c>
      <c r="Q96" s="526"/>
      <c r="U96" s="527"/>
      <c r="Y96" s="286" t="s">
        <v>445</v>
      </c>
      <c r="Z96" s="279" t="s">
        <v>394</v>
      </c>
      <c r="AA96" s="322">
        <v>3.7487805479723022</v>
      </c>
      <c r="AB96" s="279"/>
    </row>
    <row r="97" spans="1:28">
      <c r="A97" s="444"/>
      <c r="E97" s="162"/>
      <c r="F97" s="162"/>
      <c r="O97" s="555"/>
      <c r="Q97" s="526"/>
      <c r="U97" s="527"/>
      <c r="Y97" s="286"/>
      <c r="AA97" s="322"/>
      <c r="AB97" s="279"/>
    </row>
    <row r="98" spans="1:28">
      <c r="A98" s="398" t="s">
        <v>246</v>
      </c>
      <c r="E98" s="162"/>
      <c r="F98" s="162"/>
      <c r="O98" s="554" t="s">
        <v>246</v>
      </c>
      <c r="Q98" s="526"/>
      <c r="U98" s="527"/>
      <c r="Y98" s="286"/>
      <c r="AA98" s="322"/>
      <c r="AB98" s="279"/>
    </row>
    <row r="99" spans="1:28">
      <c r="A99" s="399" t="s">
        <v>450</v>
      </c>
      <c r="E99" s="162"/>
      <c r="F99" s="162"/>
      <c r="O99" s="556" t="s">
        <v>450</v>
      </c>
      <c r="Q99" s="526"/>
      <c r="U99" s="527"/>
      <c r="Y99" s="286"/>
      <c r="AA99" s="322"/>
      <c r="AB99" s="279"/>
    </row>
    <row r="100" spans="1:28">
      <c r="A100" s="400" t="str">
        <f>"shall receive a premium of "&amp;TEXT(AA100,"$0.000")&amp;" per hour for all hours worked performing Bio-Hazard Clean-up duties. "</f>
        <v xml:space="preserve">shall receive a premium of $0.954 per hour for all hours worked performing Bio-Hazard Clean-up duties. </v>
      </c>
      <c r="E100" s="162"/>
      <c r="F100" s="162"/>
      <c r="O100" s="557" t="str">
        <f>"shall receive a premium of "&amp;TEXT(AA100,"$0.000")&amp;" per hour for all hours worked performing Bio-Hazard Clean-up duties. "</f>
        <v xml:space="preserve">shall receive a premium of $0.954 per hour for all hours worked performing Bio-Hazard Clean-up duties. </v>
      </c>
      <c r="Q100" s="526"/>
      <c r="U100" s="527"/>
      <c r="Y100" s="286" t="s">
        <v>445</v>
      </c>
      <c r="Z100" s="279" t="s">
        <v>398</v>
      </c>
      <c r="AA100" s="322">
        <v>0.95396388731562154</v>
      </c>
      <c r="AB100" s="279"/>
    </row>
    <row r="101" spans="1:28">
      <c r="E101" s="162"/>
      <c r="F101" s="162"/>
      <c r="Q101" s="526"/>
      <c r="U101" s="527"/>
      <c r="Y101" s="286"/>
      <c r="AB101" s="279"/>
    </row>
    <row r="102" spans="1:28">
      <c r="A102" s="389" t="s">
        <v>580</v>
      </c>
      <c r="E102" s="162"/>
      <c r="F102" s="162"/>
      <c r="O102" s="540" t="s">
        <v>580</v>
      </c>
      <c r="Q102" s="526"/>
      <c r="U102" s="527"/>
      <c r="Y102" s="286"/>
      <c r="AB102" s="279"/>
    </row>
    <row r="103" spans="1:28" ht="30">
      <c r="E103" s="381" t="s">
        <v>581</v>
      </c>
      <c r="F103" s="381" t="s">
        <v>582</v>
      </c>
      <c r="Q103" s="535" t="s">
        <v>581</v>
      </c>
      <c r="R103" s="535" t="s">
        <v>582</v>
      </c>
      <c r="U103" s="527"/>
      <c r="Y103" s="286"/>
      <c r="AB103" s="279"/>
    </row>
    <row r="104" spans="1:28">
      <c r="A104" s="393" t="s">
        <v>191</v>
      </c>
      <c r="E104" s="269">
        <f>Q104</f>
        <v>0.55560442611230143</v>
      </c>
      <c r="F104" s="162"/>
      <c r="O104" s="551" t="s">
        <v>191</v>
      </c>
      <c r="Q104" s="436">
        <f>AA104</f>
        <v>0.55560442611230143</v>
      </c>
      <c r="U104" s="527"/>
      <c r="Y104" s="286" t="s">
        <v>445</v>
      </c>
      <c r="Z104" s="509" t="s">
        <v>403</v>
      </c>
      <c r="AA104" s="322">
        <v>0.55560442611230143</v>
      </c>
      <c r="AB104" s="279"/>
    </row>
    <row r="105" spans="1:28">
      <c r="A105" s="393" t="s">
        <v>355</v>
      </c>
      <c r="E105" s="269">
        <f t="shared" ref="E105:F110" si="98">Q105</f>
        <v>0.8180600935918978</v>
      </c>
      <c r="F105" s="269">
        <f t="shared" si="98"/>
        <v>1.5543141778246059</v>
      </c>
      <c r="O105" s="551" t="s">
        <v>355</v>
      </c>
      <c r="Q105" s="436">
        <f>AA105</f>
        <v>0.8180600935918978</v>
      </c>
      <c r="R105" s="571">
        <f>AA106</f>
        <v>1.5543141778246059</v>
      </c>
      <c r="U105" s="527"/>
      <c r="Y105" s="286" t="s">
        <v>445</v>
      </c>
      <c r="Z105" s="509" t="s">
        <v>405</v>
      </c>
      <c r="AA105" s="322">
        <v>0.8180600935918978</v>
      </c>
      <c r="AB105" s="279"/>
    </row>
    <row r="106" spans="1:28">
      <c r="A106" s="393" t="s">
        <v>193</v>
      </c>
      <c r="E106" s="269" t="str">
        <f t="shared" si="98"/>
        <v>NA</v>
      </c>
      <c r="F106" s="269">
        <f t="shared" si="98"/>
        <v>1.3325824907537223</v>
      </c>
      <c r="O106" s="551" t="s">
        <v>193</v>
      </c>
      <c r="Q106" s="526" t="s">
        <v>561</v>
      </c>
      <c r="R106" s="571">
        <f>AA107</f>
        <v>1.3325824907537223</v>
      </c>
      <c r="U106" s="527"/>
      <c r="Y106" s="286" t="s">
        <v>445</v>
      </c>
      <c r="Z106" s="509" t="s">
        <v>407</v>
      </c>
      <c r="AA106" s="322">
        <v>1.5543141778246059</v>
      </c>
      <c r="AB106" s="279"/>
    </row>
    <row r="107" spans="1:28">
      <c r="A107" s="393" t="s">
        <v>195</v>
      </c>
      <c r="E107" s="269">
        <f t="shared" si="98"/>
        <v>2.2905682620573145</v>
      </c>
      <c r="F107" s="162"/>
      <c r="O107" s="551" t="s">
        <v>195</v>
      </c>
      <c r="Q107" s="436">
        <f>AA108</f>
        <v>2.2905682620573145</v>
      </c>
      <c r="U107" s="527"/>
      <c r="Y107" s="286" t="s">
        <v>445</v>
      </c>
      <c r="Z107" s="509" t="s">
        <v>409</v>
      </c>
      <c r="AA107" s="322">
        <v>1.3325824907537223</v>
      </c>
      <c r="AB107" s="279"/>
    </row>
    <row r="108" spans="1:28">
      <c r="A108" s="393" t="s">
        <v>196</v>
      </c>
      <c r="E108" s="269">
        <f t="shared" si="98"/>
        <v>2.0451502339797454</v>
      </c>
      <c r="F108" s="162"/>
      <c r="O108" s="551" t="s">
        <v>196</v>
      </c>
      <c r="Q108" s="436">
        <f>AA109</f>
        <v>2.0451502339797454</v>
      </c>
      <c r="U108" s="527"/>
      <c r="Y108" s="286" t="s">
        <v>445</v>
      </c>
      <c r="Z108" s="509" t="s">
        <v>411</v>
      </c>
      <c r="AA108" s="322">
        <v>2.2905682620573145</v>
      </c>
      <c r="AB108" s="279"/>
    </row>
    <row r="109" spans="1:28">
      <c r="A109" s="393" t="s">
        <v>197</v>
      </c>
      <c r="E109" s="269">
        <f t="shared" si="98"/>
        <v>0.8180600935918978</v>
      </c>
      <c r="F109" s="162"/>
      <c r="O109" s="551" t="s">
        <v>197</v>
      </c>
      <c r="Q109" s="436">
        <f>AA110</f>
        <v>0.8180600935918978</v>
      </c>
      <c r="U109" s="527"/>
      <c r="Y109" s="286" t="s">
        <v>445</v>
      </c>
      <c r="Z109" s="509" t="s">
        <v>413</v>
      </c>
      <c r="AA109" s="322">
        <v>2.0451502339797454</v>
      </c>
      <c r="AB109" s="279"/>
    </row>
    <row r="110" spans="1:28">
      <c r="A110" s="393" t="s">
        <v>583</v>
      </c>
      <c r="E110" s="269">
        <f t="shared" si="98"/>
        <v>1.0711249999999999</v>
      </c>
      <c r="F110" s="162"/>
      <c r="O110" s="551" t="s">
        <v>583</v>
      </c>
      <c r="Q110" s="436">
        <f>AA111</f>
        <v>1.0711249999999999</v>
      </c>
      <c r="U110" s="527"/>
      <c r="Y110" s="286" t="s">
        <v>445</v>
      </c>
      <c r="Z110" s="279" t="s">
        <v>415</v>
      </c>
      <c r="AA110" s="322">
        <v>0.8180600935918978</v>
      </c>
      <c r="AB110" s="279"/>
    </row>
    <row r="111" spans="1:28">
      <c r="E111" s="162"/>
      <c r="F111" s="162"/>
      <c r="Q111" s="526"/>
      <c r="U111" s="527"/>
      <c r="Y111" s="286" t="s">
        <v>445</v>
      </c>
      <c r="Z111" s="279" t="s">
        <v>584</v>
      </c>
      <c r="AA111" s="322">
        <v>1.0711249999999999</v>
      </c>
      <c r="AB111" s="279"/>
    </row>
    <row r="112" spans="1:28">
      <c r="A112" s="385" t="s">
        <v>198</v>
      </c>
      <c r="E112" s="162"/>
      <c r="F112" s="162"/>
      <c r="O112" s="541" t="s">
        <v>198</v>
      </c>
      <c r="Q112" s="526"/>
      <c r="U112" s="527"/>
      <c r="Y112" s="286"/>
      <c r="AB112" s="279"/>
    </row>
    <row r="113" spans="1:28">
      <c r="A113" s="488" t="s">
        <v>586</v>
      </c>
      <c r="E113" s="162"/>
      <c r="F113" s="162"/>
      <c r="O113" s="558" t="s">
        <v>199</v>
      </c>
      <c r="Q113" s="526"/>
      <c r="U113" s="527"/>
      <c r="Y113" s="286"/>
      <c r="AB113" s="279"/>
    </row>
    <row r="114" spans="1:28">
      <c r="A114" s="488" t="s">
        <v>587</v>
      </c>
      <c r="E114" s="162"/>
      <c r="F114" s="162"/>
      <c r="O114" s="558" t="s">
        <v>200</v>
      </c>
      <c r="Q114" s="526"/>
      <c r="U114" s="527"/>
      <c r="Y114" s="286"/>
      <c r="AB114" s="279"/>
    </row>
    <row r="115" spans="1:28">
      <c r="A115" s="488" t="s">
        <v>588</v>
      </c>
      <c r="E115" s="162"/>
      <c r="F115" s="162"/>
      <c r="O115" s="558" t="s">
        <v>201</v>
      </c>
      <c r="Q115" s="526"/>
      <c r="U115" s="527"/>
      <c r="Y115" s="286"/>
      <c r="AB115" s="279"/>
    </row>
    <row r="116" spans="1:28">
      <c r="A116" s="488" t="s">
        <v>589</v>
      </c>
      <c r="E116" s="162"/>
      <c r="F116" s="162"/>
      <c r="O116" s="558" t="s">
        <v>202</v>
      </c>
      <c r="Q116" s="526"/>
      <c r="U116" s="527"/>
      <c r="Y116" s="286"/>
      <c r="AB116" s="279"/>
    </row>
    <row r="117" spans="1:28">
      <c r="A117" s="488" t="s">
        <v>590</v>
      </c>
      <c r="E117" s="162"/>
      <c r="F117" s="162"/>
      <c r="O117" s="558" t="s">
        <v>203</v>
      </c>
      <c r="Q117" s="526"/>
      <c r="U117" s="527"/>
      <c r="Y117" s="286"/>
      <c r="AB117" s="279"/>
    </row>
    <row r="118" spans="1:28">
      <c r="A118" s="488" t="s">
        <v>591</v>
      </c>
      <c r="E118" s="162"/>
      <c r="F118" s="162"/>
      <c r="O118" s="558" t="s">
        <v>204</v>
      </c>
      <c r="Q118" s="526"/>
      <c r="U118" s="527"/>
      <c r="Y118" s="286"/>
      <c r="AB118" s="279"/>
    </row>
    <row r="119" spans="1:28">
      <c r="A119" s="488" t="s">
        <v>592</v>
      </c>
      <c r="E119" s="162"/>
      <c r="F119" s="162"/>
      <c r="O119" s="558" t="s">
        <v>205</v>
      </c>
      <c r="Q119" s="526"/>
      <c r="U119" s="527"/>
      <c r="Y119" s="286"/>
      <c r="AB119" s="279"/>
    </row>
    <row r="120" spans="1:28">
      <c r="A120" s="488" t="s">
        <v>593</v>
      </c>
      <c r="E120" s="162"/>
      <c r="F120" s="162"/>
      <c r="O120" s="558" t="s">
        <v>206</v>
      </c>
      <c r="Q120" s="526"/>
      <c r="U120" s="527"/>
      <c r="Y120" s="286"/>
      <c r="AB120" s="279"/>
    </row>
    <row r="121" spans="1:28">
      <c r="A121" s="477" t="s">
        <v>594</v>
      </c>
      <c r="E121" s="162"/>
      <c r="F121" s="162"/>
      <c r="O121" s="548" t="s">
        <v>207</v>
      </c>
      <c r="Q121" s="526"/>
      <c r="U121" s="527"/>
      <c r="Y121" s="286"/>
      <c r="AB121" s="279"/>
    </row>
    <row r="122" spans="1:28">
      <c r="A122" s="477" t="s">
        <v>595</v>
      </c>
      <c r="E122" s="162"/>
      <c r="F122" s="162"/>
      <c r="O122" s="548" t="s">
        <v>208</v>
      </c>
      <c r="Q122" s="526"/>
      <c r="U122" s="527"/>
      <c r="Y122" s="286"/>
      <c r="AB122" s="279"/>
    </row>
    <row r="123" spans="1:28">
      <c r="A123" s="477" t="s">
        <v>596</v>
      </c>
      <c r="E123" s="162"/>
      <c r="F123" s="162"/>
      <c r="O123" s="548" t="s">
        <v>209</v>
      </c>
      <c r="Q123" s="526"/>
      <c r="U123" s="527"/>
      <c r="Y123" s="286"/>
      <c r="AB123" s="279"/>
    </row>
    <row r="124" spans="1:28">
      <c r="A124" s="488" t="s">
        <v>597</v>
      </c>
      <c r="E124" s="162"/>
      <c r="F124" s="162"/>
      <c r="O124" s="558" t="s">
        <v>210</v>
      </c>
      <c r="Q124" s="526"/>
      <c r="U124" s="527"/>
      <c r="Y124" s="286"/>
      <c r="AB124" s="279"/>
    </row>
    <row r="125" spans="1:28">
      <c r="A125" s="488" t="s">
        <v>598</v>
      </c>
      <c r="E125" s="162"/>
      <c r="F125" s="162"/>
      <c r="O125" s="558" t="s">
        <v>211</v>
      </c>
      <c r="Q125" s="526"/>
      <c r="U125" s="527"/>
      <c r="Y125" s="286"/>
      <c r="AB125" s="279"/>
    </row>
    <row r="126" spans="1:28">
      <c r="A126" s="488" t="s">
        <v>599</v>
      </c>
      <c r="E126" s="162"/>
      <c r="F126" s="162"/>
      <c r="O126" s="558" t="s">
        <v>212</v>
      </c>
      <c r="Q126" s="526"/>
      <c r="U126" s="527"/>
      <c r="Y126" s="286"/>
      <c r="AB126" s="279"/>
    </row>
    <row r="127" spans="1:28">
      <c r="A127" s="489" t="s">
        <v>600</v>
      </c>
      <c r="E127" s="162"/>
      <c r="F127" s="162"/>
      <c r="O127" s="559" t="s">
        <v>213</v>
      </c>
      <c r="Q127" s="526"/>
      <c r="U127" s="527"/>
      <c r="Y127" s="286"/>
      <c r="AB127" s="279"/>
    </row>
    <row r="128" spans="1:28">
      <c r="A128" s="489" t="s">
        <v>601</v>
      </c>
      <c r="E128" s="162"/>
      <c r="F128" s="162"/>
      <c r="O128" s="559" t="s">
        <v>356</v>
      </c>
      <c r="Q128" s="526"/>
      <c r="U128" s="527"/>
      <c r="Y128" s="286"/>
      <c r="AB128" s="279"/>
    </row>
    <row r="129" spans="1:29">
      <c r="A129" s="489" t="s">
        <v>215</v>
      </c>
      <c r="E129" s="162"/>
      <c r="F129" s="162"/>
      <c r="O129" s="559" t="s">
        <v>215</v>
      </c>
      <c r="Q129" s="526"/>
      <c r="U129" s="527"/>
      <c r="Y129" s="286"/>
      <c r="AB129" s="279"/>
    </row>
    <row r="130" spans="1:29">
      <c r="A130" s="488" t="s">
        <v>602</v>
      </c>
      <c r="E130" s="162"/>
      <c r="F130" s="162"/>
      <c r="O130" s="558" t="s">
        <v>216</v>
      </c>
      <c r="Q130" s="526"/>
      <c r="U130" s="527"/>
      <c r="Y130" s="286"/>
      <c r="AB130" s="279"/>
    </row>
    <row r="131" spans="1:29">
      <c r="A131" s="384" t="s">
        <v>603</v>
      </c>
      <c r="B131" s="162"/>
      <c r="C131" s="162"/>
      <c r="F131" s="221"/>
      <c r="G131" s="162"/>
      <c r="O131" s="558" t="s">
        <v>618</v>
      </c>
      <c r="P131" s="526"/>
      <c r="R131" s="526"/>
      <c r="S131" s="526"/>
      <c r="T131" s="526"/>
      <c r="U131" s="527"/>
      <c r="AB131" s="279"/>
      <c r="AC131" s="286"/>
    </row>
    <row r="132" spans="1:29">
      <c r="A132" s="384" t="s">
        <v>605</v>
      </c>
      <c r="B132" s="162"/>
      <c r="C132" s="162"/>
      <c r="F132" s="221"/>
      <c r="G132" s="162"/>
      <c r="O132" s="558" t="s">
        <v>606</v>
      </c>
      <c r="P132" s="526"/>
      <c r="R132" s="526"/>
      <c r="S132" s="526"/>
      <c r="T132" s="526"/>
      <c r="U132" s="527"/>
      <c r="AB132" s="279"/>
      <c r="AC132" s="286"/>
    </row>
    <row r="133" spans="1:29">
      <c r="E133" s="162"/>
      <c r="F133" s="162"/>
      <c r="Q133" s="526"/>
      <c r="U133" s="527"/>
      <c r="Y133" s="286"/>
      <c r="AB133" s="279"/>
    </row>
    <row r="134" spans="1:29">
      <c r="A134" s="448" t="s">
        <v>217</v>
      </c>
      <c r="B134" s="389"/>
      <c r="C134" s="401"/>
      <c r="D134" s="401"/>
      <c r="E134" s="400"/>
      <c r="F134" s="162"/>
      <c r="O134" s="560" t="s">
        <v>217</v>
      </c>
      <c r="P134" s="540"/>
      <c r="Q134" s="557"/>
      <c r="U134" s="527"/>
      <c r="Y134" s="286"/>
      <c r="AB134" s="279"/>
    </row>
    <row r="135" spans="1:29">
      <c r="A135" s="384" t="s">
        <v>357</v>
      </c>
      <c r="B135" s="384"/>
      <c r="C135" s="401"/>
      <c r="D135" s="401"/>
      <c r="E135" s="400"/>
      <c r="F135" s="162"/>
      <c r="O135" s="558" t="s">
        <v>357</v>
      </c>
      <c r="P135" s="558"/>
      <c r="Q135" s="557"/>
      <c r="U135" s="527"/>
      <c r="Y135" s="286"/>
      <c r="Z135" s="510" t="s">
        <v>417</v>
      </c>
      <c r="AA135" s="511"/>
      <c r="AB135" s="279"/>
    </row>
    <row r="136" spans="1:29">
      <c r="A136" s="408">
        <f>O136</f>
        <v>0.29516485137216003</v>
      </c>
      <c r="B136" s="400" t="s">
        <v>220</v>
      </c>
      <c r="D136" s="400"/>
      <c r="E136" s="162"/>
      <c r="F136" s="162"/>
      <c r="O136" s="563">
        <f>AA136</f>
        <v>0.29516485137216003</v>
      </c>
      <c r="P136" s="557" t="s">
        <v>220</v>
      </c>
      <c r="Q136" s="526"/>
      <c r="U136" s="527"/>
      <c r="Y136" s="512" t="s">
        <v>445</v>
      </c>
      <c r="Z136" s="509" t="s">
        <v>418</v>
      </c>
      <c r="AA136" s="322">
        <v>0.29516485137216003</v>
      </c>
      <c r="AB136" s="279"/>
    </row>
    <row r="137" spans="1:29">
      <c r="A137" s="408">
        <f t="shared" ref="A137:A139" si="99">O137</f>
        <v>0.49049453242726632</v>
      </c>
      <c r="B137" s="400" t="s">
        <v>221</v>
      </c>
      <c r="D137" s="387"/>
      <c r="E137" s="162"/>
      <c r="F137" s="162"/>
      <c r="O137" s="563">
        <f>AA137</f>
        <v>0.49049453242726632</v>
      </c>
      <c r="P137" s="557" t="s">
        <v>221</v>
      </c>
      <c r="Q137" s="526"/>
      <c r="U137" s="527"/>
      <c r="Y137" s="512" t="s">
        <v>445</v>
      </c>
      <c r="Z137" s="509" t="s">
        <v>419</v>
      </c>
      <c r="AA137" s="322">
        <v>0.49049453242726632</v>
      </c>
      <c r="AB137" s="279"/>
    </row>
    <row r="138" spans="1:29">
      <c r="A138" s="408">
        <f t="shared" si="99"/>
        <v>0.59177658927065446</v>
      </c>
      <c r="B138" s="400" t="s">
        <v>222</v>
      </c>
      <c r="D138" s="407"/>
      <c r="E138" s="162"/>
      <c r="F138" s="162"/>
      <c r="O138" s="563">
        <f>AA138</f>
        <v>0.59177658927065446</v>
      </c>
      <c r="P138" s="557" t="s">
        <v>222</v>
      </c>
      <c r="Q138" s="526"/>
      <c r="U138" s="527"/>
      <c r="Y138" s="512" t="s">
        <v>445</v>
      </c>
      <c r="Z138" s="509" t="s">
        <v>420</v>
      </c>
      <c r="AA138" s="322">
        <v>0.59177658927065446</v>
      </c>
      <c r="AB138" s="279"/>
    </row>
    <row r="139" spans="1:29">
      <c r="A139" s="408">
        <f t="shared" si="99"/>
        <v>0.77553117811508787</v>
      </c>
      <c r="B139" s="400" t="s">
        <v>223</v>
      </c>
      <c r="D139" s="387"/>
      <c r="E139" s="162"/>
      <c r="F139" s="162"/>
      <c r="O139" s="563">
        <f>AA139</f>
        <v>0.77553117811508787</v>
      </c>
      <c r="P139" s="557" t="s">
        <v>223</v>
      </c>
      <c r="Q139" s="526"/>
      <c r="U139" s="527"/>
      <c r="Y139" s="512" t="s">
        <v>445</v>
      </c>
      <c r="Z139" s="509" t="s">
        <v>421</v>
      </c>
      <c r="AA139" s="322">
        <v>0.77553117811508787</v>
      </c>
      <c r="AB139" s="279"/>
    </row>
    <row r="140" spans="1:29">
      <c r="E140" s="162"/>
      <c r="F140" s="162"/>
      <c r="Q140" s="526"/>
      <c r="U140" s="527"/>
      <c r="Y140" s="286"/>
      <c r="AB140" s="279"/>
    </row>
    <row r="141" spans="1:29">
      <c r="A141" s="448" t="s">
        <v>224</v>
      </c>
      <c r="B141" s="389"/>
      <c r="C141" s="410"/>
      <c r="D141" s="410"/>
      <c r="E141" s="387"/>
      <c r="F141" s="162"/>
      <c r="O141" s="560" t="s">
        <v>224</v>
      </c>
      <c r="P141" s="540"/>
      <c r="Q141" s="545"/>
      <c r="U141" s="527"/>
      <c r="Y141" s="286"/>
      <c r="AB141" s="279"/>
    </row>
    <row r="142" spans="1:29">
      <c r="A142" s="384" t="s">
        <v>607</v>
      </c>
      <c r="B142" s="384"/>
      <c r="C142" s="411"/>
      <c r="D142" s="411"/>
      <c r="F142" s="162"/>
      <c r="O142" s="558" t="s">
        <v>607</v>
      </c>
      <c r="P142" s="558"/>
      <c r="U142" s="527"/>
      <c r="Y142" s="286"/>
      <c r="AB142" s="279"/>
    </row>
    <row r="143" spans="1:29">
      <c r="A143" s="387" t="str">
        <f>"The employer shall pay a Shift Differential equal to  "&amp;TEXT(AA143,"$0.000")&amp;" per hour for all work shifts that have a "</f>
        <v xml:space="preserve">The employer shall pay a Shift Differential equal to  $1.652 per hour for all work shifts that have a </v>
      </c>
      <c r="B143" s="384"/>
      <c r="C143" s="411"/>
      <c r="D143" s="411"/>
      <c r="E143" s="387"/>
      <c r="F143" s="162"/>
      <c r="O143" s="545" t="str">
        <f>"The employer shall pay a Shift Differential equal to  "&amp;TEXT(AA143,"$0.000")&amp;" per hour for all work shifts that have a "</f>
        <v xml:space="preserve">The employer shall pay a Shift Differential equal to  $1.652 per hour for all work shifts that have a </v>
      </c>
      <c r="P143" s="558"/>
      <c r="Q143" s="545"/>
      <c r="U143" s="527"/>
      <c r="Y143" s="286" t="s">
        <v>445</v>
      </c>
      <c r="Z143" s="279" t="s">
        <v>423</v>
      </c>
      <c r="AA143" s="322">
        <v>1.6519007019325651</v>
      </c>
      <c r="AB143" s="279"/>
    </row>
    <row r="144" spans="1:29">
      <c r="A144" s="384" t="s">
        <v>359</v>
      </c>
      <c r="B144" s="384"/>
      <c r="C144" s="410"/>
      <c r="D144" s="410"/>
      <c r="E144" s="387"/>
      <c r="F144" s="162"/>
      <c r="O144" s="558" t="s">
        <v>359</v>
      </c>
      <c r="P144" s="558"/>
      <c r="Q144" s="545"/>
      <c r="U144" s="527"/>
      <c r="Y144" s="286" t="s">
        <v>445</v>
      </c>
      <c r="Z144" s="279" t="s">
        <v>425</v>
      </c>
      <c r="AA144" s="322">
        <v>1.6519007019325651</v>
      </c>
      <c r="AB144" s="279"/>
    </row>
    <row r="145" spans="1:28">
      <c r="A145" s="384" t="s">
        <v>227</v>
      </c>
      <c r="B145" s="384"/>
      <c r="C145" s="386"/>
      <c r="D145" s="386"/>
      <c r="E145" s="387"/>
      <c r="F145" s="162"/>
      <c r="O145" s="558" t="s">
        <v>227</v>
      </c>
      <c r="P145" s="558"/>
      <c r="Q145" s="545"/>
      <c r="U145" s="527"/>
      <c r="Y145" s="286" t="s">
        <v>445</v>
      </c>
      <c r="Z145" s="279" t="s">
        <v>427</v>
      </c>
      <c r="AA145" s="322">
        <v>1.6519007019325651</v>
      </c>
      <c r="AB145" s="279"/>
    </row>
    <row r="146" spans="1:28">
      <c r="A146" s="384" t="s">
        <v>228</v>
      </c>
      <c r="B146" s="384"/>
      <c r="C146" s="386"/>
      <c r="D146" s="386"/>
      <c r="E146" s="387"/>
      <c r="F146" s="162"/>
      <c r="O146" s="558" t="s">
        <v>228</v>
      </c>
      <c r="P146" s="558"/>
      <c r="Q146" s="545"/>
      <c r="U146" s="527"/>
      <c r="Y146" s="286"/>
      <c r="AA146" s="322"/>
      <c r="AB146" s="279"/>
    </row>
    <row r="147" spans="1:28">
      <c r="A147" s="412" t="s">
        <v>533</v>
      </c>
      <c r="B147" s="412"/>
      <c r="C147" s="393"/>
      <c r="D147" s="393"/>
      <c r="E147" s="413"/>
      <c r="F147" s="162"/>
      <c r="O147" s="558" t="s">
        <v>533</v>
      </c>
      <c r="P147" s="558"/>
      <c r="Q147" s="557"/>
      <c r="U147" s="527"/>
      <c r="Y147" s="286"/>
      <c r="AA147" s="322"/>
      <c r="AB147" s="279"/>
    </row>
    <row r="148" spans="1:28">
      <c r="E148" s="162"/>
      <c r="F148" s="162"/>
      <c r="Q148" s="526"/>
      <c r="U148" s="527"/>
      <c r="Y148" s="286"/>
      <c r="AA148" s="322"/>
      <c r="AB148" s="279"/>
    </row>
    <row r="149" spans="1:28">
      <c r="A149" s="419" t="s">
        <v>534</v>
      </c>
      <c r="E149" s="162"/>
      <c r="F149" s="162"/>
      <c r="O149" s="566" t="s">
        <v>534</v>
      </c>
      <c r="Q149" s="526"/>
      <c r="U149" s="527"/>
      <c r="Y149" s="286"/>
      <c r="AA149" s="322"/>
      <c r="AB149" s="279"/>
    </row>
    <row r="150" spans="1:28">
      <c r="A150" s="419" t="s">
        <v>535</v>
      </c>
      <c r="E150" s="162"/>
      <c r="F150" s="162"/>
      <c r="O150" s="566" t="s">
        <v>535</v>
      </c>
      <c r="Q150" s="526"/>
      <c r="U150" s="527"/>
      <c r="Y150" s="286"/>
      <c r="AA150" s="322"/>
      <c r="AB150" s="279"/>
    </row>
    <row r="151" spans="1:28">
      <c r="A151" s="420" t="str">
        <f xml:space="preserve"> "The Employer shall pay an Evening Shift Differential equal to  "&amp;TEXT(AA151,"$0.000")&amp;" per hour for all Water Treatment Operator and Senior Water Treatment Operator"</f>
        <v>The Employer shall pay an Evening Shift Differential equal to  $1.652 per hour for all Water Treatment Operator and Senior Water Treatment Operator</v>
      </c>
      <c r="E151" s="162"/>
      <c r="F151" s="162"/>
      <c r="O151" s="567" t="str">
        <f xml:space="preserve"> "The Employer shall pay an Evening Shift Differential equal to  "&amp;TEXT(AA151,"$0.000")&amp;" per hour for all Water Treatment Operator and Senior Water Treatment Operator"</f>
        <v>The Employer shall pay an Evening Shift Differential equal to  $1.652 per hour for all Water Treatment Operator and Senior Water Treatment Operator</v>
      </c>
      <c r="Q151" s="526"/>
      <c r="U151" s="527"/>
      <c r="Y151" s="286" t="s">
        <v>445</v>
      </c>
      <c r="Z151" s="279" t="s">
        <v>536</v>
      </c>
      <c r="AA151" s="322">
        <v>1.6519007019325651</v>
      </c>
      <c r="AB151" s="279"/>
    </row>
    <row r="152" spans="1:28">
      <c r="A152" s="420" t="s">
        <v>537</v>
      </c>
      <c r="E152" s="162"/>
      <c r="F152" s="162"/>
      <c r="O152" s="567" t="s">
        <v>537</v>
      </c>
      <c r="Q152" s="526"/>
      <c r="U152" s="527"/>
      <c r="Y152" s="286"/>
      <c r="AA152" s="322"/>
      <c r="AB152" s="279"/>
    </row>
    <row r="153" spans="1:28">
      <c r="A153" s="420" t="s">
        <v>538</v>
      </c>
      <c r="E153" s="162"/>
      <c r="F153" s="162"/>
      <c r="O153" s="567" t="s">
        <v>538</v>
      </c>
      <c r="Q153" s="526"/>
      <c r="U153" s="527"/>
      <c r="Y153" s="286"/>
      <c r="AA153" s="322"/>
      <c r="AB153" s="279"/>
    </row>
    <row r="154" spans="1:28">
      <c r="A154" s="419" t="s">
        <v>539</v>
      </c>
      <c r="E154" s="162"/>
      <c r="F154" s="162"/>
      <c r="O154" s="566" t="s">
        <v>539</v>
      </c>
      <c r="Q154" s="526"/>
      <c r="U154" s="527"/>
      <c r="Y154" s="286"/>
      <c r="AA154" s="322"/>
      <c r="AB154" s="279"/>
    </row>
    <row r="155" spans="1:28">
      <c r="A155" s="420" t="str">
        <f>"The Employer shall pay a Weekend Shift Differential equal to "&amp;TEXT(AA155,"$0.000")&amp;" per hour for all Water Treatment Operator and Senior Water Treatment Operator"</f>
        <v>The Employer shall pay a Weekend Shift Differential equal to $2.249 per hour for all Water Treatment Operator and Senior Water Treatment Operator</v>
      </c>
      <c r="E155" s="162"/>
      <c r="F155" s="162"/>
      <c r="O155" s="567" t="str">
        <f>"The Employer shall pay a Weekend Shift Differential equal to "&amp;TEXT(AA155,"$0.000")&amp;" per hour for all Water Treatment Operator and Senior Water Treatment Operator"</f>
        <v>The Employer shall pay a Weekend Shift Differential equal to $2.249 per hour for all Water Treatment Operator and Senior Water Treatment Operator</v>
      </c>
      <c r="Q155" s="526"/>
      <c r="U155" s="527"/>
      <c r="Y155" s="286" t="s">
        <v>445</v>
      </c>
      <c r="Z155" s="279" t="s">
        <v>530</v>
      </c>
      <c r="AA155" s="322">
        <v>2.2493624999999997</v>
      </c>
      <c r="AB155" s="279"/>
    </row>
    <row r="156" spans="1:28">
      <c r="A156" s="420" t="s">
        <v>541</v>
      </c>
      <c r="E156" s="162"/>
      <c r="F156" s="162"/>
      <c r="O156" s="567" t="s">
        <v>541</v>
      </c>
      <c r="Q156" s="526"/>
    </row>
    <row r="157" spans="1:28">
      <c r="A157" s="420" t="s">
        <v>542</v>
      </c>
      <c r="E157" s="162"/>
      <c r="F157" s="162"/>
      <c r="O157" s="567" t="s">
        <v>542</v>
      </c>
      <c r="Q157" s="526"/>
    </row>
    <row r="158" spans="1:28">
      <c r="E158" s="162"/>
      <c r="F158" s="162"/>
      <c r="Q158" s="526"/>
    </row>
    <row r="159" spans="1:28">
      <c r="A159" s="445" t="s">
        <v>364</v>
      </c>
      <c r="E159" s="162"/>
      <c r="F159" s="162"/>
      <c r="O159" s="568" t="s">
        <v>364</v>
      </c>
      <c r="Q159" s="526"/>
    </row>
    <row r="160" spans="1:28">
      <c r="A160" s="446" t="s">
        <v>608</v>
      </c>
      <c r="B160" s="159"/>
      <c r="E160" s="162"/>
      <c r="F160" s="162"/>
      <c r="O160" s="569" t="s">
        <v>619</v>
      </c>
      <c r="Q160" s="526"/>
    </row>
    <row r="161" spans="1:17">
      <c r="A161" s="393" t="s">
        <v>609</v>
      </c>
      <c r="B161" s="159"/>
      <c r="E161" s="162"/>
      <c r="F161" s="162"/>
      <c r="O161" s="551" t="s">
        <v>620</v>
      </c>
      <c r="Q161" s="526"/>
    </row>
    <row r="162" spans="1:17">
      <c r="A162" s="446" t="s">
        <v>610</v>
      </c>
      <c r="B162" s="159"/>
      <c r="E162" s="162"/>
      <c r="F162" s="162"/>
      <c r="O162" s="569" t="s">
        <v>621</v>
      </c>
      <c r="Q162" s="526"/>
    </row>
    <row r="163" spans="1:17">
      <c r="A163" s="446" t="s">
        <v>611</v>
      </c>
      <c r="B163" s="159"/>
      <c r="E163" s="162"/>
      <c r="F163" s="162"/>
      <c r="O163" s="569" t="s">
        <v>622</v>
      </c>
      <c r="Q163" s="526"/>
    </row>
    <row r="164" spans="1:17">
      <c r="A164" s="446" t="s">
        <v>612</v>
      </c>
      <c r="B164" s="159"/>
      <c r="E164" s="162"/>
      <c r="F164" s="162"/>
      <c r="O164" s="569" t="s">
        <v>623</v>
      </c>
      <c r="Q164" s="526"/>
    </row>
    <row r="165" spans="1:17">
      <c r="A165" s="393" t="s">
        <v>613</v>
      </c>
      <c r="B165" s="159"/>
      <c r="E165" s="162"/>
      <c r="F165" s="162"/>
      <c r="O165" s="551" t="s">
        <v>624</v>
      </c>
      <c r="Q165" s="526"/>
    </row>
    <row r="177" spans="1:8">
      <c r="A177" s="221" t="s">
        <v>614</v>
      </c>
      <c r="C177" s="220"/>
      <c r="D177" s="220"/>
      <c r="E177" s="220"/>
      <c r="F177" s="220"/>
      <c r="G177" s="162"/>
      <c r="H177" s="162" t="s">
        <v>615</v>
      </c>
    </row>
  </sheetData>
  <sheetProtection sheet="1" objects="1" scenarios="1" autoFilter="0"/>
  <autoFilter ref="O9:AT9" xr:uid="{3EDCB606-5039-4674-B113-D0EDD8109E27}"/>
  <phoneticPr fontId="10" type="noConversion"/>
  <printOptions horizontalCentered="1"/>
  <pageMargins left="0.25" right="0.25" top="0.75" bottom="0.5" header="0.3" footer="0.3"/>
  <pageSetup scale="84" fitToHeight="0" orientation="landscape" r:id="rId1"/>
  <headerFooter alignWithMargins="0">
    <oddHeader>&amp;C&amp;"-,Bold"&amp;12City of Minneapolis Last, Best &amp; Final Offer for #363&amp;"-,Regular"&amp;10
&amp;"-,Italic"February 22, 2024</oddHeader>
    <oddFooter>&amp;R&amp;"Calibri,Regular"&amp;P</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D0062-6063-4DAB-BA9E-C7DD03D4A01E}">
  <sheetPr codeName="Sheet15">
    <tabColor theme="7" tint="0.79998168889431442"/>
    <pageSetUpPr fitToPage="1"/>
  </sheetPr>
  <dimension ref="A1:AS182"/>
  <sheetViews>
    <sheetView showGridLines="0" topLeftCell="A158" zoomScaleNormal="100" workbookViewId="0">
      <selection activeCell="B170" sqref="B170"/>
    </sheetView>
  </sheetViews>
  <sheetFormatPr defaultColWidth="9.140625" defaultRowHeight="15"/>
  <cols>
    <col min="1" max="1" width="19.7109375" style="464" customWidth="1"/>
    <col min="2" max="2" width="58.7109375" style="465" bestFit="1" customWidth="1"/>
    <col min="3" max="3" width="11.140625" style="465" bestFit="1" customWidth="1"/>
    <col min="4" max="5" width="11" style="465" bestFit="1" customWidth="1"/>
    <col min="6" max="6" width="10.42578125" style="465" bestFit="1" customWidth="1"/>
    <col min="7" max="7" width="9.85546875" style="465" bestFit="1" customWidth="1"/>
    <col min="8" max="8" width="16.85546875" style="459" bestFit="1" customWidth="1"/>
    <col min="9" max="10" width="12" style="459" bestFit="1" customWidth="1"/>
    <col min="11" max="11" width="15" style="459" bestFit="1" customWidth="1"/>
    <col min="12" max="13" width="12" style="459" bestFit="1" customWidth="1"/>
    <col min="14" max="14" width="11" style="459" bestFit="1" customWidth="1"/>
    <col min="15" max="15" width="159.7109375" style="579" hidden="1" customWidth="1"/>
    <col min="16" max="16" width="58.85546875" style="573" hidden="1" customWidth="1"/>
    <col min="17" max="17" width="11" style="573" hidden="1" customWidth="1"/>
    <col min="18" max="20" width="11" style="574" hidden="1" customWidth="1"/>
    <col min="21" max="21" width="15" style="574" hidden="1" customWidth="1"/>
    <col min="22" max="24" width="11" style="574" hidden="1" customWidth="1"/>
    <col min="25" max="25" width="11" style="514" hidden="1" customWidth="1"/>
    <col min="26" max="26" width="43.42578125" style="514" hidden="1" customWidth="1"/>
    <col min="27" max="27" width="58.28515625" style="514" hidden="1" customWidth="1"/>
    <col min="28" max="28" width="11" style="515" hidden="1" customWidth="1"/>
    <col min="29" max="35" width="11" style="514" hidden="1" customWidth="1"/>
    <col min="36" max="45" width="9.140625" style="456" hidden="1" customWidth="1"/>
    <col min="46" max="46" width="0" style="456" hidden="1" customWidth="1"/>
    <col min="47" max="16384" width="9.140625" style="456"/>
  </cols>
  <sheetData>
    <row r="1" spans="1:37">
      <c r="A1" s="221" t="s">
        <v>545</v>
      </c>
    </row>
    <row r="2" spans="1:37">
      <c r="A2" s="499" t="s">
        <v>625</v>
      </c>
      <c r="O2" s="572" t="s">
        <v>625</v>
      </c>
    </row>
    <row r="3" spans="1:37">
      <c r="A3" s="465" t="s">
        <v>547</v>
      </c>
      <c r="B3" s="497">
        <v>2.5000000000000001E-2</v>
      </c>
      <c r="C3" s="497"/>
      <c r="D3" s="497"/>
      <c r="E3" s="497"/>
      <c r="F3" s="497"/>
      <c r="G3" s="497"/>
      <c r="O3" s="573" t="s">
        <v>547</v>
      </c>
      <c r="P3" s="575">
        <v>2.5000000000000001E-2</v>
      </c>
      <c r="Q3" s="575"/>
    </row>
    <row r="4" spans="1:37">
      <c r="A4" s="465" t="s">
        <v>617</v>
      </c>
      <c r="B4" s="498">
        <v>1</v>
      </c>
      <c r="C4" s="498"/>
      <c r="D4" s="498"/>
      <c r="E4" s="498"/>
      <c r="F4" s="498"/>
      <c r="G4" s="498"/>
      <c r="O4" s="573" t="s">
        <v>617</v>
      </c>
      <c r="P4" s="576">
        <v>1</v>
      </c>
      <c r="Q4" s="576"/>
    </row>
    <row r="5" spans="1:37">
      <c r="A5" s="480" t="s">
        <v>551</v>
      </c>
      <c r="O5" s="577" t="s">
        <v>552</v>
      </c>
    </row>
    <row r="6" spans="1:37">
      <c r="A6" s="513" t="str">
        <f>'1 1 2024'!A8</f>
        <v>Last Updated: September 25, 2024</v>
      </c>
      <c r="O6" s="578" t="s">
        <v>555</v>
      </c>
      <c r="Z6" s="279" t="s">
        <v>553</v>
      </c>
    </row>
    <row r="7" spans="1:37">
      <c r="Z7" s="279" t="s">
        <v>556</v>
      </c>
    </row>
    <row r="8" spans="1:37">
      <c r="H8" s="269"/>
      <c r="I8" s="162"/>
      <c r="J8" s="162"/>
      <c r="K8" s="162"/>
      <c r="L8" s="162"/>
      <c r="M8" s="162"/>
      <c r="N8" s="162"/>
      <c r="R8" s="526">
        <v>4</v>
      </c>
      <c r="S8" s="526">
        <f>R8+1</f>
        <v>5</v>
      </c>
      <c r="T8" s="526">
        <f t="shared" ref="T8:X8" si="0">S8+1</f>
        <v>6</v>
      </c>
      <c r="U8" s="526">
        <f t="shared" si="0"/>
        <v>7</v>
      </c>
      <c r="V8" s="526">
        <f t="shared" si="0"/>
        <v>8</v>
      </c>
      <c r="W8" s="526">
        <f t="shared" si="0"/>
        <v>9</v>
      </c>
      <c r="X8" s="526">
        <f t="shared" si="0"/>
        <v>10</v>
      </c>
      <c r="Y8" s="515"/>
    </row>
    <row r="9" spans="1:37" ht="30">
      <c r="A9" s="460" t="s">
        <v>7</v>
      </c>
      <c r="B9" s="461" t="s">
        <v>440</v>
      </c>
      <c r="C9" s="504" t="s">
        <v>557</v>
      </c>
      <c r="D9" s="381" t="s">
        <v>374</v>
      </c>
      <c r="E9" s="381" t="s">
        <v>373</v>
      </c>
      <c r="F9" s="381" t="s">
        <v>558</v>
      </c>
      <c r="G9" s="381" t="s">
        <v>376</v>
      </c>
      <c r="H9" s="462" t="s">
        <v>154</v>
      </c>
      <c r="I9" s="462" t="s">
        <v>156</v>
      </c>
      <c r="J9" s="462" t="s">
        <v>158</v>
      </c>
      <c r="K9" s="462" t="s">
        <v>170</v>
      </c>
      <c r="L9" s="462" t="s">
        <v>441</v>
      </c>
      <c r="M9" s="462" t="s">
        <v>442</v>
      </c>
      <c r="N9" s="462" t="s">
        <v>443</v>
      </c>
      <c r="O9" s="580" t="s">
        <v>7</v>
      </c>
      <c r="P9" s="581" t="s">
        <v>440</v>
      </c>
      <c r="Q9" s="535" t="s">
        <v>373</v>
      </c>
      <c r="R9" s="582" t="s">
        <v>154</v>
      </c>
      <c r="S9" s="582" t="s">
        <v>156</v>
      </c>
      <c r="T9" s="582" t="s">
        <v>158</v>
      </c>
      <c r="U9" s="582" t="s">
        <v>170</v>
      </c>
      <c r="V9" s="582" t="s">
        <v>441</v>
      </c>
      <c r="W9" s="582" t="s">
        <v>442</v>
      </c>
      <c r="X9" s="582" t="s">
        <v>443</v>
      </c>
      <c r="Y9" s="283"/>
      <c r="Z9" s="506" t="s">
        <v>7</v>
      </c>
      <c r="AA9" s="507" t="s">
        <v>440</v>
      </c>
      <c r="AB9" s="506" t="s">
        <v>373</v>
      </c>
      <c r="AC9" s="508" t="s">
        <v>154</v>
      </c>
      <c r="AD9" s="508" t="s">
        <v>156</v>
      </c>
      <c r="AE9" s="508" t="s">
        <v>158</v>
      </c>
      <c r="AF9" s="508" t="s">
        <v>170</v>
      </c>
      <c r="AG9" s="508" t="s">
        <v>441</v>
      </c>
      <c r="AH9" s="508" t="s">
        <v>442</v>
      </c>
      <c r="AI9" s="508" t="s">
        <v>443</v>
      </c>
    </row>
    <row r="10" spans="1:37">
      <c r="A10" s="459" t="s">
        <v>45</v>
      </c>
      <c r="B10" s="457" t="s">
        <v>46</v>
      </c>
      <c r="C10" s="459">
        <v>228</v>
      </c>
      <c r="D10" s="459">
        <v>5</v>
      </c>
      <c r="E10" s="459">
        <v>15</v>
      </c>
      <c r="F10" s="459" t="s">
        <v>17</v>
      </c>
      <c r="G10" s="459" t="s">
        <v>18</v>
      </c>
      <c r="H10" s="463">
        <f>AC10</f>
        <v>40.796999999999997</v>
      </c>
      <c r="I10" s="463"/>
      <c r="J10" s="463"/>
      <c r="K10" s="463"/>
      <c r="L10" s="463"/>
      <c r="M10" s="463"/>
      <c r="N10" s="463"/>
      <c r="O10" s="583" t="s">
        <v>45</v>
      </c>
      <c r="P10" s="584" t="s">
        <v>46</v>
      </c>
      <c r="Q10" s="583">
        <v>15</v>
      </c>
      <c r="R10" s="585">
        <f t="shared" ref="R10:R52" si="1">(VLOOKUP($O10,Rates2025,R$8,0)+$P$4)*(1+$P$3)</f>
        <v>42.537131942999991</v>
      </c>
      <c r="S10" s="585"/>
      <c r="T10" s="585"/>
      <c r="U10" s="585"/>
      <c r="V10" s="585"/>
      <c r="W10" s="585"/>
      <c r="X10" s="585"/>
      <c r="Y10" s="621"/>
      <c r="Z10" s="514" t="str">
        <f t="shared" ref="Z10:Z57" si="2">O10</f>
        <v>00500C</v>
      </c>
      <c r="AA10" s="514" t="str">
        <f t="shared" ref="AA10:AA57" si="3">P10</f>
        <v>Asphalt Raker</v>
      </c>
      <c r="AB10" s="515">
        <f t="shared" ref="AB10:AB57" si="4">Q10</f>
        <v>15</v>
      </c>
      <c r="AC10" s="516">
        <f>ROUND(R10-1.74,3)</f>
        <v>40.796999999999997</v>
      </c>
      <c r="AJ10" s="466"/>
      <c r="AK10" s="466"/>
    </row>
    <row r="11" spans="1:37">
      <c r="A11" s="459" t="s">
        <v>21</v>
      </c>
      <c r="B11" s="457" t="s">
        <v>22</v>
      </c>
      <c r="C11" s="459">
        <v>228</v>
      </c>
      <c r="D11" s="459">
        <v>5</v>
      </c>
      <c r="E11" s="459" t="s">
        <v>319</v>
      </c>
      <c r="F11" s="459" t="s">
        <v>17</v>
      </c>
      <c r="G11" s="459" t="s">
        <v>18</v>
      </c>
      <c r="H11" s="463">
        <f t="shared" ref="H11:H53" si="5">AC11</f>
        <v>36.070999999999998</v>
      </c>
      <c r="I11" s="463">
        <f t="shared" ref="I11:I17" si="6">AD11</f>
        <v>37.07</v>
      </c>
      <c r="J11" s="463">
        <f t="shared" ref="J11:J17" si="7">AE11</f>
        <v>38.098999999999997</v>
      </c>
      <c r="K11" s="463">
        <f t="shared" ref="K11:K17" si="8">AF11</f>
        <v>39.159999999999997</v>
      </c>
      <c r="L11" s="463"/>
      <c r="M11" s="463"/>
      <c r="N11" s="463"/>
      <c r="O11" s="583" t="s">
        <v>21</v>
      </c>
      <c r="P11" s="584" t="s">
        <v>22</v>
      </c>
      <c r="Q11" s="583" t="s">
        <v>319</v>
      </c>
      <c r="R11" s="585">
        <f t="shared" si="1"/>
        <v>37.811164903634982</v>
      </c>
      <c r="S11" s="585">
        <f t="shared" ref="S11:U17" si="9">(VLOOKUP($O11,Rates2025,S$8,0)+$P$4)*(1+$P$3)</f>
        <v>38.809868528839985</v>
      </c>
      <c r="T11" s="585">
        <f t="shared" si="9"/>
        <v>39.838556327549988</v>
      </c>
      <c r="U11" s="585">
        <f t="shared" si="9"/>
        <v>40.89953477465</v>
      </c>
      <c r="V11" s="585"/>
      <c r="W11" s="585"/>
      <c r="X11" s="585"/>
      <c r="Y11" s="621"/>
      <c r="Z11" s="514" t="str">
        <f t="shared" si="2"/>
        <v>00505C</v>
      </c>
      <c r="AA11" s="514" t="str">
        <f t="shared" si="3"/>
        <v>Asphalt Raker Apprentice I (1st 522 hours)</v>
      </c>
      <c r="AB11" s="515" t="str">
        <f t="shared" si="4"/>
        <v>32</v>
      </c>
      <c r="AC11" s="516">
        <f t="shared" ref="AC11:AC57" si="10">ROUND(R11-1.74,3)</f>
        <v>36.070999999999998</v>
      </c>
      <c r="AD11" s="516">
        <f t="shared" ref="AD11" si="11">ROUND(S11-1.74,3)</f>
        <v>37.07</v>
      </c>
      <c r="AE11" s="516">
        <f t="shared" ref="AE11" si="12">ROUND(T11-1.74,3)</f>
        <v>38.098999999999997</v>
      </c>
      <c r="AF11" s="516">
        <f t="shared" ref="AF11" si="13">ROUND(U11-1.74,3)</f>
        <v>39.159999999999997</v>
      </c>
      <c r="AJ11" s="466"/>
      <c r="AK11" s="466"/>
    </row>
    <row r="12" spans="1:37">
      <c r="A12" s="459" t="s">
        <v>25</v>
      </c>
      <c r="B12" s="457" t="s">
        <v>26</v>
      </c>
      <c r="C12" s="459">
        <v>228</v>
      </c>
      <c r="D12" s="459">
        <v>5</v>
      </c>
      <c r="E12" s="459" t="s">
        <v>321</v>
      </c>
      <c r="F12" s="459" t="s">
        <v>17</v>
      </c>
      <c r="G12" s="459" t="s">
        <v>18</v>
      </c>
      <c r="H12" s="463">
        <f t="shared" si="5"/>
        <v>36.604999999999997</v>
      </c>
      <c r="I12" s="463">
        <f t="shared" si="6"/>
        <v>37.604999999999997</v>
      </c>
      <c r="J12" s="463">
        <f t="shared" si="7"/>
        <v>38.634</v>
      </c>
      <c r="K12" s="463">
        <f t="shared" si="8"/>
        <v>39.692999999999998</v>
      </c>
      <c r="L12" s="463"/>
      <c r="M12" s="463"/>
      <c r="N12" s="463"/>
      <c r="O12" s="583" t="s">
        <v>25</v>
      </c>
      <c r="P12" s="584" t="s">
        <v>26</v>
      </c>
      <c r="Q12" s="583" t="s">
        <v>321</v>
      </c>
      <c r="R12" s="585">
        <f t="shared" si="1"/>
        <v>38.345113839512486</v>
      </c>
      <c r="S12" s="585">
        <f t="shared" si="9"/>
        <v>39.344970702159991</v>
      </c>
      <c r="T12" s="585">
        <f t="shared" si="9"/>
        <v>40.373658500869993</v>
      </c>
      <c r="U12" s="585">
        <f t="shared" si="9"/>
        <v>41.433483710527497</v>
      </c>
      <c r="V12" s="585"/>
      <c r="W12" s="585"/>
      <c r="X12" s="585"/>
      <c r="Y12" s="621"/>
      <c r="Z12" s="514" t="str">
        <f t="shared" si="2"/>
        <v>00507C</v>
      </c>
      <c r="AA12" s="514" t="str">
        <f t="shared" si="3"/>
        <v>Asphalt Raker Apprentice II (2nd 522 hours)</v>
      </c>
      <c r="AB12" s="515" t="str">
        <f t="shared" si="4"/>
        <v>33</v>
      </c>
      <c r="AC12" s="516">
        <f t="shared" ref="AC12:AC17" si="14">ROUND(R12-1.74,3)</f>
        <v>36.604999999999997</v>
      </c>
      <c r="AD12" s="516">
        <f t="shared" ref="AD12:AD17" si="15">ROUND(S12-1.74,3)</f>
        <v>37.604999999999997</v>
      </c>
      <c r="AE12" s="516">
        <f t="shared" ref="AE12:AE17" si="16">ROUND(T12-1.74,3)</f>
        <v>38.634</v>
      </c>
      <c r="AF12" s="516">
        <f t="shared" ref="AF12:AF17" si="17">ROUND(U12-1.74,3)</f>
        <v>39.692999999999998</v>
      </c>
      <c r="AJ12" s="466"/>
      <c r="AK12" s="466"/>
    </row>
    <row r="13" spans="1:37">
      <c r="A13" s="459" t="s">
        <v>48</v>
      </c>
      <c r="B13" s="457" t="s">
        <v>49</v>
      </c>
      <c r="C13" s="459">
        <v>178</v>
      </c>
      <c r="D13" s="459">
        <v>3</v>
      </c>
      <c r="E13" s="459" t="s">
        <v>47</v>
      </c>
      <c r="F13" s="459" t="s">
        <v>17</v>
      </c>
      <c r="G13" s="459" t="s">
        <v>18</v>
      </c>
      <c r="H13" s="463">
        <f t="shared" si="5"/>
        <v>23.379000000000001</v>
      </c>
      <c r="I13" s="463">
        <f t="shared" si="6"/>
        <v>26.535</v>
      </c>
      <c r="J13" s="463">
        <f t="shared" si="7"/>
        <v>27.827000000000002</v>
      </c>
      <c r="K13" s="463">
        <f t="shared" si="8"/>
        <v>33.923000000000002</v>
      </c>
      <c r="L13" s="463"/>
      <c r="M13" s="463"/>
      <c r="N13" s="463"/>
      <c r="O13" s="583" t="s">
        <v>48</v>
      </c>
      <c r="P13" s="584" t="s">
        <v>49</v>
      </c>
      <c r="Q13" s="583" t="s">
        <v>47</v>
      </c>
      <c r="R13" s="585">
        <f t="shared" si="1"/>
        <v>25.118633611479993</v>
      </c>
      <c r="S13" s="585">
        <f t="shared" si="9"/>
        <v>28.275044491602493</v>
      </c>
      <c r="T13" s="585">
        <f t="shared" si="9"/>
        <v>29.566670427202492</v>
      </c>
      <c r="U13" s="585">
        <f t="shared" si="9"/>
        <v>35.66268354825749</v>
      </c>
      <c r="V13" s="585"/>
      <c r="W13" s="585"/>
      <c r="X13" s="585"/>
      <c r="Y13" s="621"/>
      <c r="Z13" s="514" t="str">
        <f t="shared" si="2"/>
        <v>01060C</v>
      </c>
      <c r="AA13" s="514" t="str">
        <f t="shared" si="3"/>
        <v>Attendant Impound Lot</v>
      </c>
      <c r="AB13" s="515" t="str">
        <f t="shared" si="4"/>
        <v>02</v>
      </c>
      <c r="AC13" s="516">
        <f t="shared" si="14"/>
        <v>23.379000000000001</v>
      </c>
      <c r="AD13" s="516">
        <f t="shared" si="15"/>
        <v>26.535</v>
      </c>
      <c r="AE13" s="516">
        <f t="shared" si="16"/>
        <v>27.827000000000002</v>
      </c>
      <c r="AF13" s="516">
        <f t="shared" si="17"/>
        <v>33.923000000000002</v>
      </c>
      <c r="AJ13" s="466"/>
      <c r="AK13" s="466"/>
    </row>
    <row r="14" spans="1:37">
      <c r="A14" s="459" t="s">
        <v>31</v>
      </c>
      <c r="B14" s="457" t="s">
        <v>32</v>
      </c>
      <c r="C14" s="459">
        <v>280</v>
      </c>
      <c r="D14" s="459">
        <v>6</v>
      </c>
      <c r="E14" s="459" t="s">
        <v>321</v>
      </c>
      <c r="F14" s="459" t="s">
        <v>17</v>
      </c>
      <c r="G14" s="459" t="s">
        <v>18</v>
      </c>
      <c r="H14" s="463">
        <f t="shared" si="5"/>
        <v>36.604999999999997</v>
      </c>
      <c r="I14" s="463">
        <f t="shared" si="6"/>
        <v>37.604999999999997</v>
      </c>
      <c r="J14" s="463">
        <f t="shared" si="7"/>
        <v>38.634</v>
      </c>
      <c r="K14" s="463">
        <f t="shared" si="8"/>
        <v>39.692999999999998</v>
      </c>
      <c r="L14" s="463"/>
      <c r="M14" s="463"/>
      <c r="N14" s="463"/>
      <c r="O14" s="583" t="s">
        <v>31</v>
      </c>
      <c r="P14" s="584" t="s">
        <v>32</v>
      </c>
      <c r="Q14" s="583" t="s">
        <v>321</v>
      </c>
      <c r="R14" s="585">
        <f t="shared" si="1"/>
        <v>38.345113839512486</v>
      </c>
      <c r="S14" s="585">
        <f t="shared" si="9"/>
        <v>39.344970702159991</v>
      </c>
      <c r="T14" s="585">
        <f t="shared" si="9"/>
        <v>40.373658500869993</v>
      </c>
      <c r="U14" s="585">
        <f t="shared" si="9"/>
        <v>41.433483710527497</v>
      </c>
      <c r="V14" s="585"/>
      <c r="W14" s="585"/>
      <c r="X14" s="585"/>
      <c r="Y14" s="621"/>
      <c r="Z14" s="514" t="str">
        <f t="shared" si="2"/>
        <v>01585C</v>
      </c>
      <c r="AA14" s="514" t="str">
        <f t="shared" si="3"/>
        <v>Cement Finisher Apprentice I (1st 174 hours)</v>
      </c>
      <c r="AB14" s="515" t="str">
        <f t="shared" si="4"/>
        <v>33</v>
      </c>
      <c r="AC14" s="516">
        <f t="shared" si="14"/>
        <v>36.604999999999997</v>
      </c>
      <c r="AD14" s="516">
        <f t="shared" si="15"/>
        <v>37.604999999999997</v>
      </c>
      <c r="AE14" s="516">
        <f t="shared" si="16"/>
        <v>38.634</v>
      </c>
      <c r="AF14" s="516">
        <f t="shared" si="17"/>
        <v>39.692999999999998</v>
      </c>
      <c r="AJ14" s="466"/>
      <c r="AK14" s="466"/>
    </row>
    <row r="15" spans="1:37">
      <c r="A15" s="459" t="s">
        <v>35</v>
      </c>
      <c r="B15" s="457" t="s">
        <v>36</v>
      </c>
      <c r="C15" s="459">
        <v>280</v>
      </c>
      <c r="D15" s="459">
        <v>6</v>
      </c>
      <c r="E15" s="459" t="s">
        <v>322</v>
      </c>
      <c r="F15" s="459" t="s">
        <v>17</v>
      </c>
      <c r="G15" s="459" t="s">
        <v>18</v>
      </c>
      <c r="H15" s="463">
        <f t="shared" si="5"/>
        <v>37.063000000000002</v>
      </c>
      <c r="I15" s="463">
        <f t="shared" si="6"/>
        <v>38.063000000000002</v>
      </c>
      <c r="J15" s="463">
        <f t="shared" si="7"/>
        <v>39.090000000000003</v>
      </c>
      <c r="K15" s="463">
        <f t="shared" si="8"/>
        <v>40.151000000000003</v>
      </c>
      <c r="L15" s="463"/>
      <c r="M15" s="463"/>
      <c r="N15" s="463"/>
      <c r="O15" s="583" t="s">
        <v>35</v>
      </c>
      <c r="P15" s="584" t="s">
        <v>36</v>
      </c>
      <c r="Q15" s="583" t="s">
        <v>322</v>
      </c>
      <c r="R15" s="585">
        <f t="shared" si="1"/>
        <v>38.802949104184989</v>
      </c>
      <c r="S15" s="585">
        <f t="shared" si="9"/>
        <v>39.802805966832494</v>
      </c>
      <c r="T15" s="585">
        <f t="shared" si="9"/>
        <v>40.830340528099981</v>
      </c>
      <c r="U15" s="585">
        <f t="shared" si="9"/>
        <v>41.891318975199979</v>
      </c>
      <c r="V15" s="585"/>
      <c r="W15" s="585"/>
      <c r="X15" s="585"/>
      <c r="Y15" s="621"/>
      <c r="Z15" s="514" t="str">
        <f t="shared" si="2"/>
        <v>01586C</v>
      </c>
      <c r="AA15" s="514" t="str">
        <f t="shared" si="3"/>
        <v>Cement Finisher Apprentice II (Next 696 hours)</v>
      </c>
      <c r="AB15" s="515" t="str">
        <f t="shared" si="4"/>
        <v>35</v>
      </c>
      <c r="AC15" s="516">
        <f t="shared" si="14"/>
        <v>37.063000000000002</v>
      </c>
      <c r="AD15" s="516">
        <f t="shared" si="15"/>
        <v>38.063000000000002</v>
      </c>
      <c r="AE15" s="516">
        <f t="shared" si="16"/>
        <v>39.090000000000003</v>
      </c>
      <c r="AF15" s="516">
        <f t="shared" si="17"/>
        <v>40.151000000000003</v>
      </c>
      <c r="AJ15" s="466"/>
      <c r="AK15" s="466"/>
    </row>
    <row r="16" spans="1:37">
      <c r="A16" s="459" t="s">
        <v>39</v>
      </c>
      <c r="B16" s="457" t="s">
        <v>40</v>
      </c>
      <c r="C16" s="459">
        <v>280</v>
      </c>
      <c r="D16" s="459">
        <v>6</v>
      </c>
      <c r="E16" s="459" t="s">
        <v>323</v>
      </c>
      <c r="F16" s="459" t="s">
        <v>17</v>
      </c>
      <c r="G16" s="459" t="s">
        <v>18</v>
      </c>
      <c r="H16" s="463">
        <f t="shared" si="5"/>
        <v>38.512999999999998</v>
      </c>
      <c r="I16" s="463">
        <f t="shared" si="6"/>
        <v>39.512</v>
      </c>
      <c r="J16" s="463">
        <f t="shared" si="7"/>
        <v>40.542000000000002</v>
      </c>
      <c r="K16" s="463">
        <f t="shared" si="8"/>
        <v>41.603000000000002</v>
      </c>
      <c r="L16" s="463"/>
      <c r="M16" s="463"/>
      <c r="N16" s="463"/>
      <c r="O16" s="583" t="s">
        <v>39</v>
      </c>
      <c r="P16" s="584" t="s">
        <v>40</v>
      </c>
      <c r="Q16" s="583" t="s">
        <v>323</v>
      </c>
      <c r="R16" s="585">
        <f t="shared" si="1"/>
        <v>40.252568569407487</v>
      </c>
      <c r="S16" s="585">
        <f t="shared" si="9"/>
        <v>41.252425432054991</v>
      </c>
      <c r="T16" s="585">
        <f t="shared" si="9"/>
        <v>42.282266468207496</v>
      </c>
      <c r="U16" s="585">
        <f t="shared" si="9"/>
        <v>43.343244915307494</v>
      </c>
      <c r="V16" s="585"/>
      <c r="W16" s="585"/>
      <c r="X16" s="585"/>
      <c r="Y16" s="621"/>
      <c r="Z16" s="514" t="str">
        <f t="shared" si="2"/>
        <v>01587C</v>
      </c>
      <c r="AA16" s="514" t="str">
        <f t="shared" si="3"/>
        <v>Cement Finisher Apprentice III (Next 696 hours)</v>
      </c>
      <c r="AB16" s="515" t="str">
        <f t="shared" si="4"/>
        <v>36</v>
      </c>
      <c r="AC16" s="516">
        <f t="shared" si="14"/>
        <v>38.512999999999998</v>
      </c>
      <c r="AD16" s="516">
        <f t="shared" si="15"/>
        <v>39.512</v>
      </c>
      <c r="AE16" s="516">
        <f t="shared" si="16"/>
        <v>40.542000000000002</v>
      </c>
      <c r="AF16" s="516">
        <f t="shared" si="17"/>
        <v>41.603000000000002</v>
      </c>
      <c r="AJ16" s="466"/>
      <c r="AK16" s="466"/>
    </row>
    <row r="17" spans="1:37">
      <c r="A17" s="459" t="s">
        <v>42</v>
      </c>
      <c r="B17" s="457" t="s">
        <v>43</v>
      </c>
      <c r="C17" s="459">
        <v>280</v>
      </c>
      <c r="D17" s="459">
        <v>6</v>
      </c>
      <c r="E17" s="459" t="s">
        <v>324</v>
      </c>
      <c r="F17" s="459" t="s">
        <v>17</v>
      </c>
      <c r="G17" s="459" t="s">
        <v>18</v>
      </c>
      <c r="H17" s="463">
        <f t="shared" si="5"/>
        <v>39.658999999999999</v>
      </c>
      <c r="I17" s="463">
        <f t="shared" si="6"/>
        <v>40.659999999999997</v>
      </c>
      <c r="J17" s="463">
        <f t="shared" si="7"/>
        <v>41.686999999999998</v>
      </c>
      <c r="K17" s="463">
        <f t="shared" si="8"/>
        <v>42.747999999999998</v>
      </c>
      <c r="L17" s="463"/>
      <c r="M17" s="463"/>
      <c r="N17" s="463"/>
      <c r="O17" s="583" t="s">
        <v>42</v>
      </c>
      <c r="P17" s="584" t="s">
        <v>43</v>
      </c>
      <c r="Q17" s="583" t="s">
        <v>324</v>
      </c>
      <c r="R17" s="585">
        <f t="shared" si="1"/>
        <v>41.398886587252491</v>
      </c>
      <c r="S17" s="585">
        <f t="shared" si="9"/>
        <v>42.399896687342491</v>
      </c>
      <c r="T17" s="585">
        <f t="shared" si="9"/>
        <v>43.427431248609984</v>
      </c>
      <c r="U17" s="585">
        <f t="shared" si="9"/>
        <v>44.48840969570999</v>
      </c>
      <c r="V17" s="585"/>
      <c r="W17" s="585"/>
      <c r="X17" s="585"/>
      <c r="Y17" s="621"/>
      <c r="Z17" s="514" t="str">
        <f t="shared" si="2"/>
        <v>01588C</v>
      </c>
      <c r="AA17" s="514" t="str">
        <f t="shared" si="3"/>
        <v>Cement Finisher Apprentice IV (Next 696 hours)</v>
      </c>
      <c r="AB17" s="515" t="str">
        <f t="shared" si="4"/>
        <v>37</v>
      </c>
      <c r="AC17" s="516">
        <f t="shared" si="14"/>
        <v>39.658999999999999</v>
      </c>
      <c r="AD17" s="516">
        <f t="shared" si="15"/>
        <v>40.659999999999997</v>
      </c>
      <c r="AE17" s="516">
        <f t="shared" si="16"/>
        <v>41.686999999999998</v>
      </c>
      <c r="AF17" s="516">
        <f t="shared" si="17"/>
        <v>42.747999999999998</v>
      </c>
      <c r="AJ17" s="466"/>
      <c r="AK17" s="466"/>
    </row>
    <row r="18" spans="1:37">
      <c r="A18" s="459" t="s">
        <v>50</v>
      </c>
      <c r="B18" s="457" t="s">
        <v>51</v>
      </c>
      <c r="C18" s="459">
        <v>333</v>
      </c>
      <c r="D18" s="459">
        <v>7</v>
      </c>
      <c r="E18" s="459" t="s">
        <v>506</v>
      </c>
      <c r="F18" s="459" t="s">
        <v>17</v>
      </c>
      <c r="G18" s="459" t="s">
        <v>18</v>
      </c>
      <c r="H18" s="463">
        <f t="shared" si="5"/>
        <v>48.709000000000003</v>
      </c>
      <c r="I18" s="463"/>
      <c r="J18" s="463"/>
      <c r="K18" s="463"/>
      <c r="L18" s="463"/>
      <c r="M18" s="463"/>
      <c r="N18" s="463"/>
      <c r="O18" s="583" t="s">
        <v>50</v>
      </c>
      <c r="P18" s="584" t="s">
        <v>51</v>
      </c>
      <c r="Q18" s="583" t="s">
        <v>506</v>
      </c>
      <c r="R18" s="585">
        <f t="shared" si="1"/>
        <v>50.449494035992494</v>
      </c>
      <c r="S18" s="585"/>
      <c r="T18" s="585"/>
      <c r="U18" s="585"/>
      <c r="V18" s="585"/>
      <c r="W18" s="585"/>
      <c r="X18" s="585"/>
      <c r="Y18" s="621"/>
      <c r="Z18" s="514" t="str">
        <f t="shared" si="2"/>
        <v>01570C</v>
      </c>
      <c r="AA18" s="514" t="str">
        <f t="shared" si="3"/>
        <v>Cement Finisher Journeyman</v>
      </c>
      <c r="AB18" s="515" t="str">
        <f t="shared" si="4"/>
        <v>40</v>
      </c>
      <c r="AC18" s="516">
        <f t="shared" si="10"/>
        <v>48.709000000000003</v>
      </c>
      <c r="AJ18" s="466"/>
      <c r="AK18" s="466"/>
    </row>
    <row r="19" spans="1:37">
      <c r="A19" s="459" t="s">
        <v>53</v>
      </c>
      <c r="B19" s="457" t="s">
        <v>54</v>
      </c>
      <c r="C19" s="459">
        <v>188</v>
      </c>
      <c r="D19" s="459">
        <v>4</v>
      </c>
      <c r="E19" s="459" t="s">
        <v>52</v>
      </c>
      <c r="F19" s="459" t="s">
        <v>17</v>
      </c>
      <c r="G19" s="459" t="s">
        <v>18</v>
      </c>
      <c r="H19" s="463">
        <f t="shared" si="5"/>
        <v>27.335000000000001</v>
      </c>
      <c r="I19" s="463">
        <f t="shared" ref="I19" si="18">AD19</f>
        <v>30.763999999999999</v>
      </c>
      <c r="J19" s="463">
        <f t="shared" ref="J19" si="19">AE19</f>
        <v>36.374000000000002</v>
      </c>
      <c r="K19" s="463"/>
      <c r="L19" s="463"/>
      <c r="M19" s="463"/>
      <c r="N19" s="463"/>
      <c r="O19" s="583" t="s">
        <v>53</v>
      </c>
      <c r="P19" s="584" t="s">
        <v>54</v>
      </c>
      <c r="Q19" s="583" t="s">
        <v>52</v>
      </c>
      <c r="R19" s="585">
        <f t="shared" si="1"/>
        <v>29.075391276697495</v>
      </c>
      <c r="S19" s="585">
        <f>(VLOOKUP($O19,Rates2025,S$8,0)+$P$4)*(1+$P$3)</f>
        <v>32.503966193249994</v>
      </c>
      <c r="T19" s="585">
        <f>(VLOOKUP($O19,Rates2025,T$8,0)+$P$4)*(1+$P$3)</f>
        <v>38.114466351012489</v>
      </c>
      <c r="U19" s="585"/>
      <c r="V19" s="585"/>
      <c r="W19" s="585"/>
      <c r="X19" s="585"/>
      <c r="Y19" s="621"/>
      <c r="Z19" s="514" t="str">
        <f t="shared" si="2"/>
        <v>02616C</v>
      </c>
      <c r="AA19" s="514" t="str">
        <f t="shared" si="3"/>
        <v>Constr Maint Labor WU Shop-C</v>
      </c>
      <c r="AB19" s="515" t="str">
        <f t="shared" si="4"/>
        <v>03</v>
      </c>
      <c r="AC19" s="516">
        <f t="shared" si="10"/>
        <v>27.335000000000001</v>
      </c>
      <c r="AD19" s="516">
        <f t="shared" ref="AD19" si="20">ROUND(S19-1.74,3)</f>
        <v>30.763999999999999</v>
      </c>
      <c r="AE19" s="516">
        <f t="shared" ref="AE19" si="21">ROUND(T19-1.74,3)</f>
        <v>36.374000000000002</v>
      </c>
      <c r="AJ19" s="466"/>
      <c r="AK19" s="466"/>
    </row>
    <row r="20" spans="1:37">
      <c r="A20" s="459" t="s">
        <v>377</v>
      </c>
      <c r="B20" s="457" t="s">
        <v>378</v>
      </c>
      <c r="C20" s="459">
        <v>273</v>
      </c>
      <c r="D20" s="459">
        <v>6</v>
      </c>
      <c r="E20" s="459" t="s">
        <v>332</v>
      </c>
      <c r="F20" s="459" t="s">
        <v>17</v>
      </c>
      <c r="G20" s="459" t="s">
        <v>18</v>
      </c>
      <c r="H20" s="463">
        <f t="shared" si="5"/>
        <v>41.454000000000001</v>
      </c>
      <c r="I20" s="463"/>
      <c r="J20" s="463"/>
      <c r="K20" s="463"/>
      <c r="L20" s="463"/>
      <c r="M20" s="463"/>
      <c r="N20" s="463"/>
      <c r="O20" s="583" t="s">
        <v>377</v>
      </c>
      <c r="P20" s="584" t="s">
        <v>378</v>
      </c>
      <c r="Q20" s="583" t="s">
        <v>332</v>
      </c>
      <c r="R20" s="585">
        <f t="shared" si="1"/>
        <v>43.194477285224998</v>
      </c>
      <c r="S20" s="585"/>
      <c r="T20" s="585"/>
      <c r="U20" s="585"/>
      <c r="V20" s="585"/>
      <c r="W20" s="585"/>
      <c r="X20" s="585"/>
      <c r="Y20" s="621"/>
      <c r="Z20" s="514" t="str">
        <f t="shared" si="2"/>
        <v>52921C</v>
      </c>
      <c r="AA20" s="514" t="str">
        <f t="shared" si="3"/>
        <v>Construction Crew Leader</v>
      </c>
      <c r="AB20" s="515" t="str">
        <f t="shared" si="4"/>
        <v>31</v>
      </c>
      <c r="AC20" s="516">
        <f t="shared" si="10"/>
        <v>41.454000000000001</v>
      </c>
      <c r="AJ20" s="466"/>
      <c r="AK20" s="466"/>
    </row>
    <row r="21" spans="1:37">
      <c r="A21" s="459" t="s">
        <v>56</v>
      </c>
      <c r="B21" s="457" t="s">
        <v>57</v>
      </c>
      <c r="C21" s="459">
        <v>188</v>
      </c>
      <c r="D21" s="459">
        <v>4</v>
      </c>
      <c r="E21" s="459" t="s">
        <v>52</v>
      </c>
      <c r="F21" s="459" t="s">
        <v>17</v>
      </c>
      <c r="G21" s="459" t="s">
        <v>18</v>
      </c>
      <c r="H21" s="463">
        <f t="shared" ref="H21:H22" si="22">AC21</f>
        <v>27.335000000000001</v>
      </c>
      <c r="I21" s="463">
        <f t="shared" ref="I21:I22" si="23">AD21</f>
        <v>30.763999999999999</v>
      </c>
      <c r="J21" s="463">
        <f t="shared" ref="J21:J22" si="24">AE21</f>
        <v>36.374000000000002</v>
      </c>
      <c r="K21" s="463"/>
      <c r="L21" s="463"/>
      <c r="M21" s="463"/>
      <c r="N21" s="463"/>
      <c r="O21" s="583" t="s">
        <v>56</v>
      </c>
      <c r="P21" s="584" t="s">
        <v>57</v>
      </c>
      <c r="Q21" s="583" t="s">
        <v>52</v>
      </c>
      <c r="R21" s="585">
        <f t="shared" si="1"/>
        <v>29.075391276697495</v>
      </c>
      <c r="S21" s="585">
        <f t="shared" ref="S21:T25" si="25">(VLOOKUP($O21,Rates2025,S$8,0)+$P$4)*(1+$P$3)</f>
        <v>32.503966193249994</v>
      </c>
      <c r="T21" s="585">
        <f t="shared" si="25"/>
        <v>38.114466351012489</v>
      </c>
      <c r="U21" s="585"/>
      <c r="V21" s="585"/>
      <c r="W21" s="585"/>
      <c r="X21" s="585"/>
      <c r="Y21" s="621"/>
      <c r="Z21" s="514" t="str">
        <f t="shared" si="2"/>
        <v>02610C</v>
      </c>
      <c r="AA21" s="514" t="str">
        <f t="shared" si="3"/>
        <v>Construction Maint Laborer</v>
      </c>
      <c r="AB21" s="515" t="str">
        <f t="shared" si="4"/>
        <v>03</v>
      </c>
      <c r="AC21" s="516">
        <f t="shared" si="10"/>
        <v>27.335000000000001</v>
      </c>
      <c r="AD21" s="516">
        <f t="shared" ref="AD21:AD25" si="26">ROUND(S21-1.74,3)</f>
        <v>30.763999999999999</v>
      </c>
      <c r="AE21" s="516">
        <f t="shared" ref="AE21:AE25" si="27">ROUND(T21-1.74,3)</f>
        <v>36.374000000000002</v>
      </c>
      <c r="AJ21" s="466"/>
      <c r="AK21" s="466"/>
    </row>
    <row r="22" spans="1:37">
      <c r="A22" s="459" t="s">
        <v>58</v>
      </c>
      <c r="B22" s="457" t="s">
        <v>59</v>
      </c>
      <c r="C22" s="459">
        <v>153</v>
      </c>
      <c r="D22" s="459">
        <v>3</v>
      </c>
      <c r="E22" s="459">
        <v>42</v>
      </c>
      <c r="F22" s="459" t="s">
        <v>17</v>
      </c>
      <c r="G22" s="459" t="s">
        <v>18</v>
      </c>
      <c r="H22" s="463">
        <f t="shared" si="22"/>
        <v>26.535</v>
      </c>
      <c r="I22" s="463">
        <f t="shared" si="23"/>
        <v>27.827000000000002</v>
      </c>
      <c r="J22" s="463">
        <f t="shared" si="24"/>
        <v>33.923000000000002</v>
      </c>
      <c r="K22" s="463"/>
      <c r="L22" s="463"/>
      <c r="M22" s="463"/>
      <c r="N22" s="463"/>
      <c r="O22" s="583" t="s">
        <v>58</v>
      </c>
      <c r="P22" s="584" t="s">
        <v>59</v>
      </c>
      <c r="Q22" s="583">
        <v>42</v>
      </c>
      <c r="R22" s="585">
        <f t="shared" si="1"/>
        <v>28.275044491602493</v>
      </c>
      <c r="S22" s="585">
        <f t="shared" si="25"/>
        <v>29.566670427202492</v>
      </c>
      <c r="T22" s="585">
        <f t="shared" si="25"/>
        <v>35.66268354825749</v>
      </c>
      <c r="U22" s="585"/>
      <c r="V22" s="585"/>
      <c r="W22" s="585"/>
      <c r="X22" s="585"/>
      <c r="Y22" s="621"/>
      <c r="Z22" s="514" t="str">
        <f t="shared" si="2"/>
        <v>05850C</v>
      </c>
      <c r="AA22" s="514" t="str">
        <f t="shared" si="3"/>
        <v>Custodian Property Services</v>
      </c>
      <c r="AB22" s="515">
        <f t="shared" si="4"/>
        <v>42</v>
      </c>
      <c r="AC22" s="516">
        <f t="shared" si="10"/>
        <v>26.535</v>
      </c>
      <c r="AD22" s="516">
        <f t="shared" si="26"/>
        <v>27.827000000000002</v>
      </c>
      <c r="AE22" s="516">
        <f t="shared" si="27"/>
        <v>33.923000000000002</v>
      </c>
      <c r="AJ22" s="466"/>
      <c r="AK22" s="466"/>
    </row>
    <row r="23" spans="1:37">
      <c r="A23" s="459" t="s">
        <v>60</v>
      </c>
      <c r="B23" s="457" t="s">
        <v>61</v>
      </c>
      <c r="C23" s="459">
        <v>160</v>
      </c>
      <c r="D23" s="459">
        <v>3</v>
      </c>
      <c r="E23" s="459" t="s">
        <v>47</v>
      </c>
      <c r="F23" s="459" t="s">
        <v>17</v>
      </c>
      <c r="G23" s="459" t="s">
        <v>18</v>
      </c>
      <c r="H23" s="463">
        <f t="shared" ref="H23:H25" si="28">AC23</f>
        <v>23.379000000000001</v>
      </c>
      <c r="I23" s="463">
        <f t="shared" ref="I23:I25" si="29">AD23</f>
        <v>26.535</v>
      </c>
      <c r="J23" s="463">
        <f t="shared" ref="J23:J25" si="30">AE23</f>
        <v>27.827000000000002</v>
      </c>
      <c r="K23" s="463">
        <f t="shared" ref="K23:K25" si="31">AF23</f>
        <v>33.923000000000002</v>
      </c>
      <c r="L23" s="463"/>
      <c r="M23" s="463"/>
      <c r="N23" s="463"/>
      <c r="O23" s="583" t="s">
        <v>60</v>
      </c>
      <c r="P23" s="584" t="s">
        <v>61</v>
      </c>
      <c r="Q23" s="583" t="s">
        <v>47</v>
      </c>
      <c r="R23" s="585">
        <f t="shared" si="1"/>
        <v>25.118633611479993</v>
      </c>
      <c r="S23" s="585">
        <f t="shared" si="25"/>
        <v>28.275044491602493</v>
      </c>
      <c r="T23" s="585">
        <f t="shared" si="25"/>
        <v>29.566670427202492</v>
      </c>
      <c r="U23" s="585">
        <f>(VLOOKUP($O23,Rates2025,U$8,0)+$P$4)*(1+$P$3)</f>
        <v>35.66268354825749</v>
      </c>
      <c r="V23" s="585"/>
      <c r="W23" s="585"/>
      <c r="X23" s="585"/>
      <c r="Y23" s="621"/>
      <c r="Z23" s="514" t="str">
        <f t="shared" si="2"/>
        <v>02960C</v>
      </c>
      <c r="AA23" s="514" t="str">
        <f t="shared" si="3"/>
        <v>Delivery Worker</v>
      </c>
      <c r="AB23" s="515" t="str">
        <f t="shared" si="4"/>
        <v>02</v>
      </c>
      <c r="AC23" s="516">
        <f t="shared" si="10"/>
        <v>23.379000000000001</v>
      </c>
      <c r="AD23" s="516">
        <f t="shared" si="26"/>
        <v>26.535</v>
      </c>
      <c r="AE23" s="516">
        <f t="shared" si="27"/>
        <v>27.827000000000002</v>
      </c>
      <c r="AF23" s="516">
        <f t="shared" ref="AF23:AF25" si="32">ROUND(U23-1.74,3)</f>
        <v>33.923000000000002</v>
      </c>
      <c r="AJ23" s="466"/>
      <c r="AK23" s="466"/>
    </row>
    <row r="24" spans="1:37">
      <c r="A24" s="459" t="s">
        <v>63</v>
      </c>
      <c r="B24" s="457" t="s">
        <v>64</v>
      </c>
      <c r="C24" s="459">
        <v>220</v>
      </c>
      <c r="D24" s="459">
        <v>4</v>
      </c>
      <c r="E24" s="459">
        <v>44</v>
      </c>
      <c r="F24" s="459" t="s">
        <v>17</v>
      </c>
      <c r="G24" s="459" t="s">
        <v>18</v>
      </c>
      <c r="H24" s="463">
        <f t="shared" si="28"/>
        <v>27.149000000000001</v>
      </c>
      <c r="I24" s="463">
        <f t="shared" si="29"/>
        <v>30.626000000000001</v>
      </c>
      <c r="J24" s="463">
        <f t="shared" si="30"/>
        <v>34.335999999999999</v>
      </c>
      <c r="K24" s="463">
        <f t="shared" si="31"/>
        <v>40.226999999999997</v>
      </c>
      <c r="L24" s="463"/>
      <c r="M24" s="463"/>
      <c r="N24" s="463"/>
      <c r="O24" s="583" t="s">
        <v>63</v>
      </c>
      <c r="P24" s="584" t="s">
        <v>64</v>
      </c>
      <c r="Q24" s="583" t="s">
        <v>62</v>
      </c>
      <c r="R24" s="585">
        <f t="shared" si="1"/>
        <v>28.888625624999992</v>
      </c>
      <c r="S24" s="585">
        <f t="shared" si="25"/>
        <v>32.366194374999992</v>
      </c>
      <c r="T24" s="585">
        <f t="shared" si="25"/>
        <v>36.075951249999996</v>
      </c>
      <c r="U24" s="585">
        <f>(VLOOKUP($O24,Rates2025,U$8,0)+$P$4)*(1+$P$3)</f>
        <v>41.966805624999992</v>
      </c>
      <c r="V24" s="585"/>
      <c r="W24" s="585"/>
      <c r="X24" s="585"/>
      <c r="Y24" s="621"/>
      <c r="Z24" s="514" t="str">
        <f t="shared" si="2"/>
        <v>04170C</v>
      </c>
      <c r="AA24" s="514" t="str">
        <f t="shared" si="3"/>
        <v>Equipment Service Worker</v>
      </c>
      <c r="AB24" s="515" t="str">
        <f t="shared" si="4"/>
        <v>05</v>
      </c>
      <c r="AC24" s="516">
        <f t="shared" si="10"/>
        <v>27.149000000000001</v>
      </c>
      <c r="AD24" s="516">
        <f t="shared" si="26"/>
        <v>30.626000000000001</v>
      </c>
      <c r="AE24" s="516">
        <f t="shared" si="27"/>
        <v>34.335999999999999</v>
      </c>
      <c r="AF24" s="516">
        <f t="shared" si="32"/>
        <v>40.226999999999997</v>
      </c>
      <c r="AJ24" s="466"/>
      <c r="AK24" s="466"/>
    </row>
    <row r="25" spans="1:37">
      <c r="A25" s="459" t="s">
        <v>66</v>
      </c>
      <c r="B25" s="457" t="s">
        <v>67</v>
      </c>
      <c r="C25" s="459">
        <v>263</v>
      </c>
      <c r="D25" s="459">
        <v>5</v>
      </c>
      <c r="E25" s="459" t="s">
        <v>65</v>
      </c>
      <c r="F25" s="459" t="s">
        <v>17</v>
      </c>
      <c r="G25" s="459" t="s">
        <v>18</v>
      </c>
      <c r="H25" s="463">
        <f t="shared" si="28"/>
        <v>35.1</v>
      </c>
      <c r="I25" s="463">
        <f t="shared" si="29"/>
        <v>36.14</v>
      </c>
      <c r="J25" s="463">
        <f t="shared" si="30"/>
        <v>37.219000000000001</v>
      </c>
      <c r="K25" s="463">
        <f t="shared" si="31"/>
        <v>38.546999999999997</v>
      </c>
      <c r="L25" s="463"/>
      <c r="M25" s="463"/>
      <c r="N25" s="463"/>
      <c r="O25" s="583" t="s">
        <v>66</v>
      </c>
      <c r="P25" s="584" t="s">
        <v>67</v>
      </c>
      <c r="Q25" s="583" t="s">
        <v>65</v>
      </c>
      <c r="R25" s="585">
        <f t="shared" si="1"/>
        <v>36.840138977049996</v>
      </c>
      <c r="S25" s="585">
        <f t="shared" si="25"/>
        <v>37.880359150184987</v>
      </c>
      <c r="T25" s="585">
        <f t="shared" si="25"/>
        <v>38.958636158922488</v>
      </c>
      <c r="U25" s="585">
        <f>(VLOOKUP($O25,Rates2025,U$8,0)+$P$4)*(1+$P$3)</f>
        <v>40.2871656926825</v>
      </c>
      <c r="V25" s="585"/>
      <c r="W25" s="585"/>
      <c r="X25" s="585"/>
      <c r="Y25" s="621"/>
      <c r="Z25" s="514" t="str">
        <f t="shared" si="2"/>
        <v>05958C</v>
      </c>
      <c r="AA25" s="514" t="str">
        <f t="shared" si="3"/>
        <v>Lead Custodian Property Services</v>
      </c>
      <c r="AB25" s="515" t="str">
        <f t="shared" si="4"/>
        <v>06B</v>
      </c>
      <c r="AC25" s="516">
        <f t="shared" si="10"/>
        <v>35.1</v>
      </c>
      <c r="AD25" s="516">
        <f t="shared" si="26"/>
        <v>36.14</v>
      </c>
      <c r="AE25" s="516">
        <f t="shared" si="27"/>
        <v>37.219000000000001</v>
      </c>
      <c r="AF25" s="516">
        <f t="shared" si="32"/>
        <v>38.546999999999997</v>
      </c>
      <c r="AJ25" s="466"/>
      <c r="AK25" s="466"/>
    </row>
    <row r="26" spans="1:37">
      <c r="A26" s="459" t="s">
        <v>68</v>
      </c>
      <c r="B26" s="457" t="s">
        <v>325</v>
      </c>
      <c r="C26" s="459">
        <v>205</v>
      </c>
      <c r="D26" s="459">
        <v>4</v>
      </c>
      <c r="E26" s="459">
        <v>11</v>
      </c>
      <c r="F26" s="459" t="s">
        <v>17</v>
      </c>
      <c r="G26" s="459" t="s">
        <v>18</v>
      </c>
      <c r="H26" s="463">
        <f t="shared" si="5"/>
        <v>39.29</v>
      </c>
      <c r="I26" s="463"/>
      <c r="J26" s="463"/>
      <c r="K26" s="463"/>
      <c r="L26" s="463"/>
      <c r="M26" s="463"/>
      <c r="N26" s="463"/>
      <c r="O26" s="583" t="s">
        <v>68</v>
      </c>
      <c r="P26" s="584" t="s">
        <v>325</v>
      </c>
      <c r="Q26" s="583">
        <v>11</v>
      </c>
      <c r="R26" s="585">
        <f t="shared" si="1"/>
        <v>41.029850605652491</v>
      </c>
      <c r="S26" s="585"/>
      <c r="T26" s="585"/>
      <c r="U26" s="585"/>
      <c r="V26" s="585"/>
      <c r="W26" s="585"/>
      <c r="X26" s="585"/>
      <c r="Y26" s="621"/>
      <c r="Z26" s="514" t="str">
        <f t="shared" si="2"/>
        <v>06030C</v>
      </c>
      <c r="AA26" s="514" t="str">
        <f t="shared" si="3"/>
        <v>Lead Pipe Layer I (Paving Const.)</v>
      </c>
      <c r="AB26" s="515">
        <f t="shared" si="4"/>
        <v>11</v>
      </c>
      <c r="AC26" s="516">
        <f t="shared" si="10"/>
        <v>39.29</v>
      </c>
      <c r="AJ26" s="466"/>
      <c r="AK26" s="466"/>
    </row>
    <row r="27" spans="1:37">
      <c r="A27" s="459" t="s">
        <v>71</v>
      </c>
      <c r="B27" s="457" t="s">
        <v>379</v>
      </c>
      <c r="C27" s="459">
        <v>205</v>
      </c>
      <c r="D27" s="459">
        <v>4</v>
      </c>
      <c r="E27" s="459" t="s">
        <v>319</v>
      </c>
      <c r="F27" s="459" t="s">
        <v>17</v>
      </c>
      <c r="G27" s="459" t="s">
        <v>18</v>
      </c>
      <c r="H27" s="463">
        <f t="shared" ref="H27:H28" si="33">AC27</f>
        <v>36.070999999999998</v>
      </c>
      <c r="I27" s="463">
        <f t="shared" ref="I27:I28" si="34">AD27</f>
        <v>37.07</v>
      </c>
      <c r="J27" s="463">
        <f t="shared" ref="J27:J28" si="35">AE27</f>
        <v>38.098999999999997</v>
      </c>
      <c r="K27" s="463">
        <f t="shared" ref="K27:K28" si="36">AF27</f>
        <v>39.159999999999997</v>
      </c>
      <c r="L27" s="463"/>
      <c r="M27" s="463"/>
      <c r="N27" s="463"/>
      <c r="O27" s="583" t="s">
        <v>71</v>
      </c>
      <c r="P27" s="584" t="s">
        <v>379</v>
      </c>
      <c r="Q27" s="583" t="s">
        <v>319</v>
      </c>
      <c r="R27" s="585">
        <f t="shared" si="1"/>
        <v>37.811164903634982</v>
      </c>
      <c r="S27" s="585">
        <f t="shared" ref="S27:U28" si="37">(VLOOKUP($O27,Rates2025,S$8,0)+$P$4)*(1+$P$3)</f>
        <v>38.809868528839985</v>
      </c>
      <c r="T27" s="585">
        <f t="shared" si="37"/>
        <v>39.838556327549988</v>
      </c>
      <c r="U27" s="585">
        <f t="shared" si="37"/>
        <v>40.89953477465</v>
      </c>
      <c r="V27" s="585"/>
      <c r="W27" s="585"/>
      <c r="X27" s="585"/>
      <c r="Y27" s="621"/>
      <c r="Z27" s="514" t="str">
        <f t="shared" si="2"/>
        <v>06035C</v>
      </c>
      <c r="AA27" s="514" t="str">
        <f t="shared" si="3"/>
        <v>Lead Pipe Layer I (Paving Const.) Apprentice I (1st 522 hours)</v>
      </c>
      <c r="AB27" s="515" t="str">
        <f t="shared" si="4"/>
        <v>32</v>
      </c>
      <c r="AC27" s="516">
        <f t="shared" si="10"/>
        <v>36.070999999999998</v>
      </c>
      <c r="AD27" s="516">
        <f t="shared" ref="AD27:AD28" si="38">ROUND(S27-1.74,3)</f>
        <v>37.07</v>
      </c>
      <c r="AE27" s="516">
        <f t="shared" ref="AE27:AE28" si="39">ROUND(T27-1.74,3)</f>
        <v>38.098999999999997</v>
      </c>
      <c r="AF27" s="516">
        <f t="shared" ref="AF27:AF28" si="40">ROUND(U27-1.74,3)</f>
        <v>39.159999999999997</v>
      </c>
      <c r="AJ27" s="466"/>
      <c r="AK27" s="466"/>
    </row>
    <row r="28" spans="1:37">
      <c r="A28" s="459" t="s">
        <v>74</v>
      </c>
      <c r="B28" s="457" t="s">
        <v>326</v>
      </c>
      <c r="C28" s="459">
        <v>205</v>
      </c>
      <c r="D28" s="459">
        <v>4</v>
      </c>
      <c r="E28" s="459" t="s">
        <v>321</v>
      </c>
      <c r="F28" s="459" t="s">
        <v>17</v>
      </c>
      <c r="G28" s="459" t="s">
        <v>18</v>
      </c>
      <c r="H28" s="463">
        <f t="shared" si="33"/>
        <v>36.604999999999997</v>
      </c>
      <c r="I28" s="463">
        <f t="shared" si="34"/>
        <v>37.604999999999997</v>
      </c>
      <c r="J28" s="463">
        <f t="shared" si="35"/>
        <v>38.634</v>
      </c>
      <c r="K28" s="463">
        <f t="shared" si="36"/>
        <v>39.692999999999998</v>
      </c>
      <c r="L28" s="463"/>
      <c r="M28" s="463"/>
      <c r="N28" s="463"/>
      <c r="O28" s="583" t="s">
        <v>74</v>
      </c>
      <c r="P28" s="584" t="s">
        <v>326</v>
      </c>
      <c r="Q28" s="583" t="s">
        <v>321</v>
      </c>
      <c r="R28" s="585">
        <f t="shared" si="1"/>
        <v>38.345113839512486</v>
      </c>
      <c r="S28" s="585">
        <f t="shared" si="37"/>
        <v>39.344970702159991</v>
      </c>
      <c r="T28" s="585">
        <f t="shared" si="37"/>
        <v>40.373658500869993</v>
      </c>
      <c r="U28" s="585">
        <f t="shared" si="37"/>
        <v>41.433483710527497</v>
      </c>
      <c r="V28" s="585"/>
      <c r="W28" s="585"/>
      <c r="X28" s="585"/>
      <c r="Y28" s="621"/>
      <c r="Z28" s="514" t="str">
        <f t="shared" si="2"/>
        <v>06037C</v>
      </c>
      <c r="AA28" s="514" t="str">
        <f t="shared" si="3"/>
        <v>Lead Pipe Layer I (Paving Const.) Apprentice II (2nd 522 hours)</v>
      </c>
      <c r="AB28" s="515" t="str">
        <f t="shared" si="4"/>
        <v>33</v>
      </c>
      <c r="AC28" s="516">
        <f t="shared" si="10"/>
        <v>36.604999999999997</v>
      </c>
      <c r="AD28" s="516">
        <f t="shared" si="38"/>
        <v>37.604999999999997</v>
      </c>
      <c r="AE28" s="516">
        <f t="shared" si="39"/>
        <v>38.634</v>
      </c>
      <c r="AF28" s="516">
        <f t="shared" si="40"/>
        <v>39.692999999999998</v>
      </c>
      <c r="AJ28" s="466"/>
      <c r="AK28" s="466"/>
    </row>
    <row r="29" spans="1:37">
      <c r="A29" s="459" t="s">
        <v>77</v>
      </c>
      <c r="B29" s="457" t="s">
        <v>327</v>
      </c>
      <c r="C29" s="459">
        <v>205</v>
      </c>
      <c r="D29" s="459">
        <v>4</v>
      </c>
      <c r="E29" s="459" t="s">
        <v>76</v>
      </c>
      <c r="F29" s="459" t="s">
        <v>17</v>
      </c>
      <c r="G29" s="459" t="s">
        <v>18</v>
      </c>
      <c r="H29" s="463">
        <f t="shared" si="5"/>
        <v>39.651000000000003</v>
      </c>
      <c r="I29" s="463"/>
      <c r="J29" s="463"/>
      <c r="K29" s="463"/>
      <c r="L29" s="463"/>
      <c r="M29" s="463"/>
      <c r="N29" s="463"/>
      <c r="O29" s="583" t="s">
        <v>77</v>
      </c>
      <c r="P29" s="584" t="s">
        <v>327</v>
      </c>
      <c r="Q29" s="583" t="s">
        <v>76</v>
      </c>
      <c r="R29" s="585">
        <f t="shared" si="1"/>
        <v>41.390813925154987</v>
      </c>
      <c r="S29" s="585"/>
      <c r="T29" s="585"/>
      <c r="U29" s="585"/>
      <c r="V29" s="585"/>
      <c r="W29" s="585"/>
      <c r="X29" s="585"/>
      <c r="Y29" s="621"/>
      <c r="Z29" s="514" t="str">
        <f t="shared" si="2"/>
        <v>06050C</v>
      </c>
      <c r="AA29" s="514" t="str">
        <f t="shared" si="3"/>
        <v>Lead Pipe Layer II (Water Const.)</v>
      </c>
      <c r="AB29" s="515" t="str">
        <f t="shared" si="4"/>
        <v>14</v>
      </c>
      <c r="AC29" s="516">
        <f t="shared" si="10"/>
        <v>39.651000000000003</v>
      </c>
      <c r="AJ29" s="466"/>
      <c r="AK29" s="466"/>
    </row>
    <row r="30" spans="1:37">
      <c r="A30" s="459" t="s">
        <v>80</v>
      </c>
      <c r="B30" s="457" t="s">
        <v>328</v>
      </c>
      <c r="C30" s="459">
        <v>205</v>
      </c>
      <c r="D30" s="459">
        <v>4</v>
      </c>
      <c r="E30" s="459" t="s">
        <v>319</v>
      </c>
      <c r="F30" s="459" t="s">
        <v>17</v>
      </c>
      <c r="G30" s="459" t="s">
        <v>18</v>
      </c>
      <c r="H30" s="463">
        <f t="shared" ref="H30:H32" si="41">AC30</f>
        <v>36.070999999999998</v>
      </c>
      <c r="I30" s="463">
        <f t="shared" ref="I30:I32" si="42">AD30</f>
        <v>37.07</v>
      </c>
      <c r="J30" s="463">
        <f t="shared" ref="J30:J32" si="43">AE30</f>
        <v>38.098999999999997</v>
      </c>
      <c r="K30" s="463">
        <f t="shared" ref="K30:K32" si="44">AF30</f>
        <v>39.159999999999997</v>
      </c>
      <c r="L30" s="463"/>
      <c r="M30" s="463"/>
      <c r="N30" s="463"/>
      <c r="O30" s="583" t="s">
        <v>80</v>
      </c>
      <c r="P30" s="584" t="s">
        <v>328</v>
      </c>
      <c r="Q30" s="583" t="s">
        <v>319</v>
      </c>
      <c r="R30" s="585">
        <f t="shared" si="1"/>
        <v>37.811164903634982</v>
      </c>
      <c r="S30" s="585">
        <f t="shared" ref="S30:U32" si="45">(VLOOKUP($O30,Rates2025,S$8,0)+$P$4)*(1+$P$3)</f>
        <v>38.809868528839985</v>
      </c>
      <c r="T30" s="585">
        <f t="shared" si="45"/>
        <v>39.838556327549988</v>
      </c>
      <c r="U30" s="585">
        <f t="shared" si="45"/>
        <v>40.89953477465</v>
      </c>
      <c r="V30" s="585"/>
      <c r="W30" s="585"/>
      <c r="X30" s="585"/>
      <c r="Y30" s="621"/>
      <c r="Z30" s="514" t="str">
        <f t="shared" si="2"/>
        <v>06056C</v>
      </c>
      <c r="AA30" s="514" t="str">
        <f t="shared" si="3"/>
        <v>Lead Pipe Layer II (Water Const.) Apprentice I (1st 522 hours)</v>
      </c>
      <c r="AB30" s="515" t="str">
        <f t="shared" si="4"/>
        <v>32</v>
      </c>
      <c r="AC30" s="516">
        <f t="shared" si="10"/>
        <v>36.070999999999998</v>
      </c>
      <c r="AD30" s="516">
        <f t="shared" ref="AD30:AD32" si="46">ROUND(S30-1.74,3)</f>
        <v>37.07</v>
      </c>
      <c r="AE30" s="516">
        <f t="shared" ref="AE30:AE32" si="47">ROUND(T30-1.74,3)</f>
        <v>38.098999999999997</v>
      </c>
      <c r="AF30" s="516">
        <f t="shared" ref="AF30:AF32" si="48">ROUND(U30-1.74,3)</f>
        <v>39.159999999999997</v>
      </c>
      <c r="AJ30" s="466"/>
      <c r="AK30" s="466"/>
    </row>
    <row r="31" spans="1:37">
      <c r="A31" s="459" t="s">
        <v>83</v>
      </c>
      <c r="B31" s="457" t="s">
        <v>329</v>
      </c>
      <c r="C31" s="459">
        <v>205</v>
      </c>
      <c r="D31" s="459">
        <v>4</v>
      </c>
      <c r="E31" s="459" t="s">
        <v>321</v>
      </c>
      <c r="F31" s="459" t="s">
        <v>17</v>
      </c>
      <c r="G31" s="459" t="s">
        <v>18</v>
      </c>
      <c r="H31" s="463">
        <f t="shared" si="41"/>
        <v>36.604999999999997</v>
      </c>
      <c r="I31" s="463">
        <f t="shared" si="42"/>
        <v>37.604999999999997</v>
      </c>
      <c r="J31" s="463">
        <f t="shared" si="43"/>
        <v>38.634</v>
      </c>
      <c r="K31" s="463">
        <f t="shared" si="44"/>
        <v>39.692999999999998</v>
      </c>
      <c r="L31" s="463"/>
      <c r="M31" s="463"/>
      <c r="N31" s="463"/>
      <c r="O31" s="583" t="s">
        <v>83</v>
      </c>
      <c r="P31" s="584" t="s">
        <v>329</v>
      </c>
      <c r="Q31" s="583" t="s">
        <v>321</v>
      </c>
      <c r="R31" s="585">
        <f t="shared" si="1"/>
        <v>38.345113839512486</v>
      </c>
      <c r="S31" s="585">
        <f t="shared" si="45"/>
        <v>39.344970702159991</v>
      </c>
      <c r="T31" s="585">
        <f t="shared" si="45"/>
        <v>40.373658500869993</v>
      </c>
      <c r="U31" s="585">
        <f t="shared" si="45"/>
        <v>41.433483710527497</v>
      </c>
      <c r="V31" s="585"/>
      <c r="W31" s="585"/>
      <c r="X31" s="585"/>
      <c r="Y31" s="621"/>
      <c r="Z31" s="514" t="str">
        <f t="shared" si="2"/>
        <v>06057C</v>
      </c>
      <c r="AA31" s="514" t="str">
        <f t="shared" si="3"/>
        <v>Lead Pipe Layer II (Water Const.) Apprentice II (2nd 522 hours)</v>
      </c>
      <c r="AB31" s="515" t="str">
        <f t="shared" si="4"/>
        <v>33</v>
      </c>
      <c r="AC31" s="516">
        <f t="shared" si="10"/>
        <v>36.604999999999997</v>
      </c>
      <c r="AD31" s="516">
        <f t="shared" si="46"/>
        <v>37.604999999999997</v>
      </c>
      <c r="AE31" s="516">
        <f t="shared" si="47"/>
        <v>38.634</v>
      </c>
      <c r="AF31" s="516">
        <f t="shared" si="48"/>
        <v>39.692999999999998</v>
      </c>
      <c r="AJ31" s="466"/>
      <c r="AK31" s="466"/>
    </row>
    <row r="32" spans="1:37">
      <c r="A32" s="459" t="s">
        <v>86</v>
      </c>
      <c r="B32" s="457" t="s">
        <v>331</v>
      </c>
      <c r="C32" s="459">
        <v>205</v>
      </c>
      <c r="D32" s="459">
        <v>4</v>
      </c>
      <c r="E32" s="459" t="s">
        <v>330</v>
      </c>
      <c r="F32" s="459" t="s">
        <v>17</v>
      </c>
      <c r="G32" s="459" t="s">
        <v>18</v>
      </c>
      <c r="H32" s="463">
        <f t="shared" si="41"/>
        <v>36.909999999999997</v>
      </c>
      <c r="I32" s="463">
        <f t="shared" si="42"/>
        <v>37.908999999999999</v>
      </c>
      <c r="J32" s="463">
        <f t="shared" si="43"/>
        <v>38.938000000000002</v>
      </c>
      <c r="K32" s="463">
        <f t="shared" si="44"/>
        <v>39.999000000000002</v>
      </c>
      <c r="L32" s="463"/>
      <c r="M32" s="463"/>
      <c r="N32" s="463"/>
      <c r="O32" s="583" t="s">
        <v>86</v>
      </c>
      <c r="P32" s="584" t="s">
        <v>331</v>
      </c>
      <c r="Q32" s="583" t="s">
        <v>330</v>
      </c>
      <c r="R32" s="585">
        <f t="shared" si="1"/>
        <v>38.649568524332494</v>
      </c>
      <c r="S32" s="585">
        <f t="shared" si="45"/>
        <v>39.649425386979992</v>
      </c>
      <c r="T32" s="585">
        <f t="shared" si="45"/>
        <v>40.678113185689988</v>
      </c>
      <c r="U32" s="585">
        <f t="shared" si="45"/>
        <v>41.739091632789993</v>
      </c>
      <c r="V32" s="585"/>
      <c r="W32" s="585"/>
      <c r="X32" s="585"/>
      <c r="Y32" s="621"/>
      <c r="Z32" s="514" t="str">
        <f t="shared" si="2"/>
        <v>06058C</v>
      </c>
      <c r="AA32" s="514" t="str">
        <f t="shared" si="3"/>
        <v>Lead Pipe Layer II (Water Const.) Apprentice III (3rd 522 hours)</v>
      </c>
      <c r="AB32" s="515" t="str">
        <f t="shared" si="4"/>
        <v>34</v>
      </c>
      <c r="AC32" s="516">
        <f t="shared" si="10"/>
        <v>36.909999999999997</v>
      </c>
      <c r="AD32" s="516">
        <f t="shared" si="46"/>
        <v>37.908999999999999</v>
      </c>
      <c r="AE32" s="516">
        <f t="shared" si="47"/>
        <v>38.938000000000002</v>
      </c>
      <c r="AF32" s="516">
        <f t="shared" si="48"/>
        <v>39.999000000000002</v>
      </c>
      <c r="AJ32" s="466"/>
      <c r="AK32" s="466"/>
    </row>
    <row r="33" spans="1:37">
      <c r="A33" s="459" t="s">
        <v>90</v>
      </c>
      <c r="B33" s="457" t="s">
        <v>333</v>
      </c>
      <c r="C33" s="459">
        <v>205</v>
      </c>
      <c r="D33" s="459">
        <v>4</v>
      </c>
      <c r="E33" s="459" t="s">
        <v>332</v>
      </c>
      <c r="F33" s="459" t="s">
        <v>17</v>
      </c>
      <c r="G33" s="459" t="s">
        <v>18</v>
      </c>
      <c r="H33" s="463">
        <f t="shared" si="5"/>
        <v>41.454000000000001</v>
      </c>
      <c r="I33" s="463"/>
      <c r="J33" s="463"/>
      <c r="K33" s="463"/>
      <c r="L33" s="463"/>
      <c r="M33" s="463"/>
      <c r="N33" s="463"/>
      <c r="O33" s="583" t="s">
        <v>90</v>
      </c>
      <c r="P33" s="584" t="s">
        <v>333</v>
      </c>
      <c r="Q33" s="583" t="s">
        <v>332</v>
      </c>
      <c r="R33" s="585">
        <f t="shared" si="1"/>
        <v>43.194477285224998</v>
      </c>
      <c r="S33" s="585"/>
      <c r="T33" s="585"/>
      <c r="U33" s="585"/>
      <c r="V33" s="585"/>
      <c r="W33" s="585"/>
      <c r="X33" s="585"/>
      <c r="Y33" s="621"/>
      <c r="Z33" s="514" t="str">
        <f t="shared" si="2"/>
        <v>06066C</v>
      </c>
      <c r="AA33" s="514" t="str">
        <f t="shared" si="3"/>
        <v>Lead Pipe Layer III (Sewer Const.)</v>
      </c>
      <c r="AB33" s="515" t="str">
        <f t="shared" si="4"/>
        <v>31</v>
      </c>
      <c r="AC33" s="516">
        <f t="shared" si="10"/>
        <v>41.454000000000001</v>
      </c>
      <c r="AJ33" s="466"/>
      <c r="AK33" s="466"/>
    </row>
    <row r="34" spans="1:37">
      <c r="A34" s="459" t="s">
        <v>93</v>
      </c>
      <c r="B34" s="457" t="s">
        <v>334</v>
      </c>
      <c r="C34" s="459">
        <v>205</v>
      </c>
      <c r="D34" s="459">
        <v>4</v>
      </c>
      <c r="E34" s="459" t="s">
        <v>319</v>
      </c>
      <c r="F34" s="459" t="s">
        <v>17</v>
      </c>
      <c r="G34" s="459" t="s">
        <v>18</v>
      </c>
      <c r="H34" s="463">
        <f t="shared" ref="H34:H36" si="49">AC34</f>
        <v>36.070999999999998</v>
      </c>
      <c r="I34" s="463">
        <f t="shared" ref="I34:I36" si="50">AD34</f>
        <v>37.07</v>
      </c>
      <c r="J34" s="463">
        <f t="shared" ref="J34:J36" si="51">AE34</f>
        <v>38.098999999999997</v>
      </c>
      <c r="K34" s="463">
        <f t="shared" ref="K34:K36" si="52">AF34</f>
        <v>39.159999999999997</v>
      </c>
      <c r="L34" s="463"/>
      <c r="M34" s="463"/>
      <c r="N34" s="463"/>
      <c r="O34" s="583" t="s">
        <v>93</v>
      </c>
      <c r="P34" s="584" t="s">
        <v>334</v>
      </c>
      <c r="Q34" s="583" t="s">
        <v>319</v>
      </c>
      <c r="R34" s="585">
        <f t="shared" si="1"/>
        <v>37.811164903634982</v>
      </c>
      <c r="S34" s="585">
        <f t="shared" ref="S34:U36" si="53">(VLOOKUP($O34,Rates2025,S$8,0)+$P$4)*(1+$P$3)</f>
        <v>38.809868528839985</v>
      </c>
      <c r="T34" s="585">
        <f t="shared" si="53"/>
        <v>39.838556327549988</v>
      </c>
      <c r="U34" s="585">
        <f t="shared" si="53"/>
        <v>40.89953477465</v>
      </c>
      <c r="V34" s="585"/>
      <c r="W34" s="585"/>
      <c r="X34" s="585"/>
      <c r="Y34" s="621"/>
      <c r="Z34" s="514" t="str">
        <f t="shared" si="2"/>
        <v>06067C</v>
      </c>
      <c r="AA34" s="514" t="str">
        <f t="shared" si="3"/>
        <v>Lead Pipe Layer III (Sewer Const.) Apprentice I (1st 522 hours)</v>
      </c>
      <c r="AB34" s="515" t="str">
        <f t="shared" si="4"/>
        <v>32</v>
      </c>
      <c r="AC34" s="516">
        <f t="shared" si="10"/>
        <v>36.070999999999998</v>
      </c>
      <c r="AD34" s="516">
        <f t="shared" ref="AD34:AD36" si="54">ROUND(S34-1.74,3)</f>
        <v>37.07</v>
      </c>
      <c r="AE34" s="516">
        <f t="shared" ref="AE34:AE36" si="55">ROUND(T34-1.74,3)</f>
        <v>38.098999999999997</v>
      </c>
      <c r="AF34" s="516">
        <f t="shared" ref="AF34:AF36" si="56">ROUND(U34-1.74,3)</f>
        <v>39.159999999999997</v>
      </c>
      <c r="AJ34" s="466"/>
      <c r="AK34" s="466"/>
    </row>
    <row r="35" spans="1:37">
      <c r="A35" s="459" t="s">
        <v>96</v>
      </c>
      <c r="B35" s="457" t="s">
        <v>335</v>
      </c>
      <c r="C35" s="459">
        <v>205</v>
      </c>
      <c r="D35" s="459">
        <v>4</v>
      </c>
      <c r="E35" s="459" t="s">
        <v>321</v>
      </c>
      <c r="F35" s="459" t="s">
        <v>17</v>
      </c>
      <c r="G35" s="459" t="s">
        <v>18</v>
      </c>
      <c r="H35" s="463">
        <f t="shared" si="49"/>
        <v>36.604999999999997</v>
      </c>
      <c r="I35" s="463">
        <f t="shared" si="50"/>
        <v>37.604999999999997</v>
      </c>
      <c r="J35" s="463">
        <f t="shared" si="51"/>
        <v>38.634</v>
      </c>
      <c r="K35" s="463">
        <f t="shared" si="52"/>
        <v>39.692999999999998</v>
      </c>
      <c r="L35" s="463"/>
      <c r="M35" s="463"/>
      <c r="N35" s="463"/>
      <c r="O35" s="583" t="s">
        <v>96</v>
      </c>
      <c r="P35" s="584" t="s">
        <v>335</v>
      </c>
      <c r="Q35" s="583" t="s">
        <v>321</v>
      </c>
      <c r="R35" s="585">
        <f t="shared" si="1"/>
        <v>38.345113839512486</v>
      </c>
      <c r="S35" s="585">
        <f t="shared" si="53"/>
        <v>39.344970702159991</v>
      </c>
      <c r="T35" s="585">
        <f t="shared" si="53"/>
        <v>40.373658500869993</v>
      </c>
      <c r="U35" s="585">
        <f t="shared" si="53"/>
        <v>41.433483710527497</v>
      </c>
      <c r="V35" s="585"/>
      <c r="W35" s="585"/>
      <c r="X35" s="585"/>
      <c r="Y35" s="621"/>
      <c r="Z35" s="514" t="str">
        <f t="shared" si="2"/>
        <v>06068C</v>
      </c>
      <c r="AA35" s="514" t="str">
        <f t="shared" si="3"/>
        <v>Lead Pipe Layer III (Sewer Const.) Apprentice II (2nd 522 hours)</v>
      </c>
      <c r="AB35" s="515" t="str">
        <f t="shared" si="4"/>
        <v>33</v>
      </c>
      <c r="AC35" s="516">
        <f t="shared" si="10"/>
        <v>36.604999999999997</v>
      </c>
      <c r="AD35" s="516">
        <f t="shared" si="54"/>
        <v>37.604999999999997</v>
      </c>
      <c r="AE35" s="516">
        <f t="shared" si="55"/>
        <v>38.634</v>
      </c>
      <c r="AF35" s="516">
        <f t="shared" si="56"/>
        <v>39.692999999999998</v>
      </c>
      <c r="AJ35" s="466"/>
      <c r="AK35" s="466"/>
    </row>
    <row r="36" spans="1:37">
      <c r="A36" s="459" t="s">
        <v>99</v>
      </c>
      <c r="B36" s="457" t="s">
        <v>336</v>
      </c>
      <c r="C36" s="459">
        <v>205</v>
      </c>
      <c r="D36" s="459">
        <v>4</v>
      </c>
      <c r="E36" s="459" t="s">
        <v>330</v>
      </c>
      <c r="F36" s="459" t="s">
        <v>17</v>
      </c>
      <c r="G36" s="459" t="s">
        <v>18</v>
      </c>
      <c r="H36" s="463">
        <f t="shared" si="49"/>
        <v>36.909999999999997</v>
      </c>
      <c r="I36" s="463">
        <f t="shared" si="50"/>
        <v>37.908999999999999</v>
      </c>
      <c r="J36" s="463">
        <f t="shared" si="51"/>
        <v>38.938000000000002</v>
      </c>
      <c r="K36" s="463">
        <f t="shared" si="52"/>
        <v>39.999000000000002</v>
      </c>
      <c r="L36" s="463"/>
      <c r="M36" s="463"/>
      <c r="N36" s="463"/>
      <c r="O36" s="583" t="s">
        <v>99</v>
      </c>
      <c r="P36" s="584" t="s">
        <v>336</v>
      </c>
      <c r="Q36" s="583" t="s">
        <v>330</v>
      </c>
      <c r="R36" s="585">
        <f t="shared" si="1"/>
        <v>38.649568524332494</v>
      </c>
      <c r="S36" s="585">
        <f t="shared" si="53"/>
        <v>39.649425386979992</v>
      </c>
      <c r="T36" s="585">
        <f t="shared" si="53"/>
        <v>40.678113185689988</v>
      </c>
      <c r="U36" s="585">
        <f t="shared" si="53"/>
        <v>41.739091632789993</v>
      </c>
      <c r="V36" s="585"/>
      <c r="W36" s="585"/>
      <c r="X36" s="585"/>
      <c r="Y36" s="621"/>
      <c r="Z36" s="514" t="str">
        <f t="shared" si="2"/>
        <v>06069C</v>
      </c>
      <c r="AA36" s="514" t="str">
        <f t="shared" si="3"/>
        <v>Lead Pipe Layer III (Sewer Const.) Apprentice III (3rd 522 hours)</v>
      </c>
      <c r="AB36" s="515" t="str">
        <f t="shared" si="4"/>
        <v>34</v>
      </c>
      <c r="AC36" s="516">
        <f t="shared" si="10"/>
        <v>36.909999999999997</v>
      </c>
      <c r="AD36" s="516">
        <f t="shared" si="54"/>
        <v>37.908999999999999</v>
      </c>
      <c r="AE36" s="516">
        <f t="shared" si="55"/>
        <v>38.938000000000002</v>
      </c>
      <c r="AF36" s="516">
        <f t="shared" si="56"/>
        <v>39.999000000000002</v>
      </c>
      <c r="AJ36" s="466"/>
      <c r="AK36" s="466"/>
    </row>
    <row r="37" spans="1:37">
      <c r="A37" s="459" t="s">
        <v>101</v>
      </c>
      <c r="B37" s="457" t="s">
        <v>102</v>
      </c>
      <c r="C37" s="459">
        <v>273</v>
      </c>
      <c r="D37" s="459">
        <v>6</v>
      </c>
      <c r="E37" s="459" t="s">
        <v>332</v>
      </c>
      <c r="F37" s="459" t="s">
        <v>17</v>
      </c>
      <c r="G37" s="459" t="s">
        <v>18</v>
      </c>
      <c r="H37" s="463">
        <f t="shared" si="5"/>
        <v>41.454000000000001</v>
      </c>
      <c r="I37" s="463"/>
      <c r="J37" s="463"/>
      <c r="K37" s="463"/>
      <c r="L37" s="463"/>
      <c r="M37" s="463"/>
      <c r="N37" s="463"/>
      <c r="O37" s="583" t="s">
        <v>101</v>
      </c>
      <c r="P37" s="584" t="s">
        <v>102</v>
      </c>
      <c r="Q37" s="583" t="s">
        <v>332</v>
      </c>
      <c r="R37" s="585">
        <f t="shared" si="1"/>
        <v>43.194477285224998</v>
      </c>
      <c r="S37" s="585"/>
      <c r="T37" s="585"/>
      <c r="U37" s="585"/>
      <c r="V37" s="585"/>
      <c r="W37" s="585"/>
      <c r="X37" s="585"/>
      <c r="Y37" s="621"/>
      <c r="Z37" s="514" t="str">
        <f t="shared" si="2"/>
        <v>06462C</v>
      </c>
      <c r="AA37" s="514" t="str">
        <f t="shared" si="3"/>
        <v>Maintenance Crew Ldr - Bridge</v>
      </c>
      <c r="AB37" s="515" t="str">
        <f t="shared" si="4"/>
        <v>31</v>
      </c>
      <c r="AC37" s="516">
        <f t="shared" si="10"/>
        <v>41.454000000000001</v>
      </c>
      <c r="AJ37" s="466"/>
      <c r="AK37" s="466"/>
    </row>
    <row r="38" spans="1:37">
      <c r="A38" s="459" t="s">
        <v>103</v>
      </c>
      <c r="B38" s="457" t="s">
        <v>104</v>
      </c>
      <c r="C38" s="459">
        <v>273</v>
      </c>
      <c r="D38" s="459">
        <v>6</v>
      </c>
      <c r="E38" s="459" t="s">
        <v>332</v>
      </c>
      <c r="F38" s="459" t="s">
        <v>17</v>
      </c>
      <c r="G38" s="459" t="s">
        <v>18</v>
      </c>
      <c r="H38" s="463">
        <f t="shared" si="5"/>
        <v>41.454000000000001</v>
      </c>
      <c r="I38" s="463"/>
      <c r="J38" s="463"/>
      <c r="K38" s="463"/>
      <c r="L38" s="463"/>
      <c r="M38" s="463"/>
      <c r="N38" s="463"/>
      <c r="O38" s="583" t="s">
        <v>103</v>
      </c>
      <c r="P38" s="584" t="s">
        <v>104</v>
      </c>
      <c r="Q38" s="583" t="s">
        <v>332</v>
      </c>
      <c r="R38" s="585">
        <f t="shared" si="1"/>
        <v>43.194477285224998</v>
      </c>
      <c r="S38" s="585"/>
      <c r="T38" s="585"/>
      <c r="U38" s="585"/>
      <c r="V38" s="585"/>
      <c r="W38" s="585"/>
      <c r="X38" s="585"/>
      <c r="Y38" s="621"/>
      <c r="Z38" s="514" t="str">
        <f t="shared" si="2"/>
        <v>06464C</v>
      </c>
      <c r="AA38" s="514" t="str">
        <f t="shared" si="3"/>
        <v>Maintenance Crew Ldr - Sewer</v>
      </c>
      <c r="AB38" s="515" t="str">
        <f t="shared" si="4"/>
        <v>31</v>
      </c>
      <c r="AC38" s="516">
        <f t="shared" si="10"/>
        <v>41.454000000000001</v>
      </c>
      <c r="AJ38" s="466"/>
      <c r="AK38" s="466"/>
    </row>
    <row r="39" spans="1:37">
      <c r="A39" s="459" t="s">
        <v>105</v>
      </c>
      <c r="B39" s="457" t="s">
        <v>106</v>
      </c>
      <c r="C39" s="459">
        <v>273</v>
      </c>
      <c r="D39" s="459">
        <v>6</v>
      </c>
      <c r="E39" s="459" t="s">
        <v>332</v>
      </c>
      <c r="F39" s="459" t="s">
        <v>17</v>
      </c>
      <c r="G39" s="459" t="s">
        <v>18</v>
      </c>
      <c r="H39" s="463">
        <f t="shared" si="5"/>
        <v>41.454000000000001</v>
      </c>
      <c r="I39" s="463"/>
      <c r="J39" s="463"/>
      <c r="K39" s="463"/>
      <c r="L39" s="463"/>
      <c r="M39" s="463"/>
      <c r="N39" s="463"/>
      <c r="O39" s="583" t="s">
        <v>105</v>
      </c>
      <c r="P39" s="584" t="s">
        <v>106</v>
      </c>
      <c r="Q39" s="583" t="s">
        <v>332</v>
      </c>
      <c r="R39" s="585">
        <f t="shared" si="1"/>
        <v>43.194477285224998</v>
      </c>
      <c r="S39" s="585"/>
      <c r="T39" s="585"/>
      <c r="U39" s="585"/>
      <c r="V39" s="585"/>
      <c r="W39" s="585"/>
      <c r="X39" s="585"/>
      <c r="Y39" s="621"/>
      <c r="Z39" s="514" t="str">
        <f t="shared" si="2"/>
        <v>06465C</v>
      </c>
      <c r="AA39" s="514" t="str">
        <f t="shared" si="3"/>
        <v>Maintenance Crew Ldr - Sol Waste</v>
      </c>
      <c r="AB39" s="515" t="str">
        <f t="shared" si="4"/>
        <v>31</v>
      </c>
      <c r="AC39" s="516">
        <f t="shared" si="10"/>
        <v>41.454000000000001</v>
      </c>
      <c r="AJ39" s="466"/>
      <c r="AK39" s="466"/>
    </row>
    <row r="40" spans="1:37">
      <c r="A40" s="459" t="s">
        <v>107</v>
      </c>
      <c r="B40" s="457" t="s">
        <v>108</v>
      </c>
      <c r="C40" s="459">
        <v>273</v>
      </c>
      <c r="D40" s="459">
        <v>6</v>
      </c>
      <c r="E40" s="459" t="s">
        <v>332</v>
      </c>
      <c r="F40" s="459" t="s">
        <v>17</v>
      </c>
      <c r="G40" s="459" t="s">
        <v>18</v>
      </c>
      <c r="H40" s="463">
        <f t="shared" si="5"/>
        <v>41.454000000000001</v>
      </c>
      <c r="I40" s="463"/>
      <c r="J40" s="463"/>
      <c r="K40" s="463"/>
      <c r="L40" s="463"/>
      <c r="M40" s="463"/>
      <c r="N40" s="463"/>
      <c r="O40" s="583" t="s">
        <v>107</v>
      </c>
      <c r="P40" s="584" t="s">
        <v>108</v>
      </c>
      <c r="Q40" s="583" t="s">
        <v>332</v>
      </c>
      <c r="R40" s="585">
        <f t="shared" si="1"/>
        <v>43.194477285224998</v>
      </c>
      <c r="S40" s="585"/>
      <c r="T40" s="585"/>
      <c r="U40" s="585"/>
      <c r="V40" s="585"/>
      <c r="W40" s="585"/>
      <c r="X40" s="585"/>
      <c r="Y40" s="621"/>
      <c r="Z40" s="514" t="str">
        <f t="shared" si="2"/>
        <v>06466C</v>
      </c>
      <c r="AA40" s="514" t="str">
        <f t="shared" si="3"/>
        <v>Maintenance Crew Ldr - Streets</v>
      </c>
      <c r="AB40" s="515" t="str">
        <f t="shared" si="4"/>
        <v>31</v>
      </c>
      <c r="AC40" s="516">
        <f t="shared" si="10"/>
        <v>41.454000000000001</v>
      </c>
      <c r="AJ40" s="466"/>
      <c r="AK40" s="466"/>
    </row>
    <row r="41" spans="1:37">
      <c r="A41" s="459" t="s">
        <v>109</v>
      </c>
      <c r="B41" s="457" t="s">
        <v>110</v>
      </c>
      <c r="C41" s="459">
        <v>273</v>
      </c>
      <c r="D41" s="459">
        <v>6</v>
      </c>
      <c r="E41" s="459" t="s">
        <v>332</v>
      </c>
      <c r="F41" s="459" t="s">
        <v>17</v>
      </c>
      <c r="G41" s="459" t="s">
        <v>18</v>
      </c>
      <c r="H41" s="463">
        <f t="shared" si="5"/>
        <v>41.454000000000001</v>
      </c>
      <c r="I41" s="463"/>
      <c r="J41" s="463"/>
      <c r="K41" s="463"/>
      <c r="L41" s="463"/>
      <c r="M41" s="463"/>
      <c r="N41" s="463"/>
      <c r="O41" s="583" t="s">
        <v>109</v>
      </c>
      <c r="P41" s="584" t="s">
        <v>110</v>
      </c>
      <c r="Q41" s="583" t="s">
        <v>332</v>
      </c>
      <c r="R41" s="585">
        <f t="shared" si="1"/>
        <v>43.194477285224998</v>
      </c>
      <c r="S41" s="585"/>
      <c r="T41" s="585"/>
      <c r="U41" s="585"/>
      <c r="V41" s="585"/>
      <c r="W41" s="585"/>
      <c r="X41" s="585"/>
      <c r="Y41" s="621"/>
      <c r="Z41" s="514" t="str">
        <f t="shared" si="2"/>
        <v>06468C</v>
      </c>
      <c r="AA41" s="514" t="str">
        <f t="shared" si="3"/>
        <v>Maintenance Crew Ldr - Traffic</v>
      </c>
      <c r="AB41" s="515" t="str">
        <f t="shared" si="4"/>
        <v>31</v>
      </c>
      <c r="AC41" s="516">
        <f t="shared" si="10"/>
        <v>41.454000000000001</v>
      </c>
      <c r="AJ41" s="466"/>
      <c r="AK41" s="466"/>
    </row>
    <row r="42" spans="1:37">
      <c r="A42" s="459" t="s">
        <v>112</v>
      </c>
      <c r="B42" s="457" t="s">
        <v>510</v>
      </c>
      <c r="C42" s="459">
        <v>253</v>
      </c>
      <c r="D42" s="459">
        <v>5</v>
      </c>
      <c r="E42" s="459" t="s">
        <v>509</v>
      </c>
      <c r="F42" s="459" t="s">
        <v>17</v>
      </c>
      <c r="G42" s="459" t="s">
        <v>18</v>
      </c>
      <c r="H42" s="463">
        <f t="shared" si="5"/>
        <v>40.609000000000002</v>
      </c>
      <c r="I42" s="463"/>
      <c r="J42" s="463"/>
      <c r="K42" s="463"/>
      <c r="L42" s="463"/>
      <c r="M42" s="463"/>
      <c r="N42" s="463"/>
      <c r="O42" s="583" t="s">
        <v>112</v>
      </c>
      <c r="P42" s="584" t="s">
        <v>510</v>
      </c>
      <c r="Q42" s="583" t="s">
        <v>509</v>
      </c>
      <c r="R42" s="585">
        <f t="shared" si="1"/>
        <v>42.34915423987249</v>
      </c>
      <c r="S42" s="585"/>
      <c r="T42" s="585"/>
      <c r="U42" s="585"/>
      <c r="V42" s="585"/>
      <c r="W42" s="585"/>
      <c r="X42" s="585"/>
      <c r="Y42" s="621"/>
      <c r="Z42" s="514" t="str">
        <f t="shared" si="2"/>
        <v>07440C</v>
      </c>
      <c r="AA42" s="514" t="str">
        <f t="shared" si="3"/>
        <v>Parking Meter Technician</v>
      </c>
      <c r="AB42" s="515" t="str">
        <f t="shared" si="4"/>
        <v>39</v>
      </c>
      <c r="AC42" s="516">
        <f t="shared" si="10"/>
        <v>40.609000000000002</v>
      </c>
      <c r="AJ42" s="466"/>
      <c r="AK42" s="466"/>
    </row>
    <row r="43" spans="1:37">
      <c r="A43" s="459" t="s">
        <v>115</v>
      </c>
      <c r="B43" s="457" t="s">
        <v>116</v>
      </c>
      <c r="C43" s="459">
        <v>215</v>
      </c>
      <c r="D43" s="459">
        <v>4</v>
      </c>
      <c r="E43" s="459" t="s">
        <v>114</v>
      </c>
      <c r="F43" s="459" t="s">
        <v>17</v>
      </c>
      <c r="G43" s="459" t="s">
        <v>18</v>
      </c>
      <c r="H43" s="463">
        <f t="shared" si="5"/>
        <v>36.655000000000001</v>
      </c>
      <c r="I43" s="463"/>
      <c r="J43" s="463"/>
      <c r="K43" s="463"/>
      <c r="L43" s="463"/>
      <c r="M43" s="463"/>
      <c r="N43" s="463"/>
      <c r="O43" s="583" t="s">
        <v>115</v>
      </c>
      <c r="P43" s="584" t="s">
        <v>116</v>
      </c>
      <c r="Q43" s="583" t="s">
        <v>114</v>
      </c>
      <c r="R43" s="585">
        <f t="shared" si="1"/>
        <v>38.394703049539991</v>
      </c>
      <c r="S43" s="585"/>
      <c r="T43" s="585"/>
      <c r="U43" s="585"/>
      <c r="V43" s="585"/>
      <c r="W43" s="585"/>
      <c r="X43" s="585"/>
      <c r="Y43" s="621"/>
      <c r="Z43" s="514" t="str">
        <f t="shared" si="2"/>
        <v>07940C</v>
      </c>
      <c r="AA43" s="514" t="str">
        <f t="shared" si="3"/>
        <v>Plant Service Worker</v>
      </c>
      <c r="AB43" s="515" t="str">
        <f t="shared" si="4"/>
        <v>07</v>
      </c>
      <c r="AC43" s="516">
        <f t="shared" si="10"/>
        <v>36.655000000000001</v>
      </c>
      <c r="AJ43" s="466"/>
      <c r="AK43" s="466"/>
    </row>
    <row r="44" spans="1:37">
      <c r="A44" s="459" t="s">
        <v>119</v>
      </c>
      <c r="B44" s="457" t="s">
        <v>120</v>
      </c>
      <c r="C44" s="459">
        <v>335</v>
      </c>
      <c r="D44" s="459">
        <v>7</v>
      </c>
      <c r="E44" s="459" t="s">
        <v>118</v>
      </c>
      <c r="F44" s="459" t="s">
        <v>17</v>
      </c>
      <c r="G44" s="459" t="s">
        <v>18</v>
      </c>
      <c r="H44" s="463">
        <f t="shared" si="5"/>
        <v>36.877000000000002</v>
      </c>
      <c r="I44" s="463">
        <f t="shared" ref="I44:I45" si="57">AD44</f>
        <v>38.558</v>
      </c>
      <c r="J44" s="463">
        <f t="shared" ref="J44:J45" si="58">AE44</f>
        <v>40.241</v>
      </c>
      <c r="K44" s="463">
        <f t="shared" ref="K44:K45" si="59">AF44</f>
        <v>41.917999999999999</v>
      </c>
      <c r="L44" s="463">
        <f t="shared" ref="L44" si="60">AG44</f>
        <v>43.600999999999999</v>
      </c>
      <c r="M44" s="463">
        <f t="shared" ref="M44" si="61">AH44</f>
        <v>45.286999999999999</v>
      </c>
      <c r="N44" s="463"/>
      <c r="O44" s="583" t="s">
        <v>119</v>
      </c>
      <c r="P44" s="584" t="s">
        <v>120</v>
      </c>
      <c r="Q44" s="583" t="s">
        <v>118</v>
      </c>
      <c r="R44" s="585">
        <f t="shared" si="1"/>
        <v>38.617277875942499</v>
      </c>
      <c r="S44" s="585">
        <f>(VLOOKUP($O44,Rates2025,S$8,0)+$P$4)*(1+$P$3)</f>
        <v>40.297544829665</v>
      </c>
      <c r="T44" s="585">
        <f>(VLOOKUP($O44,Rates2025,T$8,0)+$P$4)*(1+$P$3)</f>
        <v>41.981271495714999</v>
      </c>
      <c r="U44" s="585">
        <f>(VLOOKUP($O44,Rates2025,U$8,0)+$P$4)*(1+$P$3)</f>
        <v>43.658078737109989</v>
      </c>
      <c r="V44" s="585">
        <f>(VLOOKUP($O44,Rates2025,V$8,0)+$P$4)*(1+$P$3)</f>
        <v>45.340652165717486</v>
      </c>
      <c r="W44" s="585">
        <f>(VLOOKUP($O44,Rates2025,W$8,0)+$P$4)*(1+$P$3)</f>
        <v>47.026685306652489</v>
      </c>
      <c r="X44" s="585"/>
      <c r="Y44" s="621"/>
      <c r="Z44" s="514" t="str">
        <f t="shared" si="2"/>
        <v>02621C</v>
      </c>
      <c r="AA44" s="514" t="str">
        <f t="shared" si="3"/>
        <v>Pubic Works Equipment Dispatcher</v>
      </c>
      <c r="AB44" s="515" t="str">
        <f t="shared" si="4"/>
        <v>28</v>
      </c>
      <c r="AC44" s="516">
        <f t="shared" si="10"/>
        <v>36.877000000000002</v>
      </c>
      <c r="AD44" s="516">
        <f t="shared" ref="AD44:AD45" si="62">ROUND(S44-1.74,3)</f>
        <v>38.558</v>
      </c>
      <c r="AE44" s="516">
        <f t="shared" ref="AE44:AE45" si="63">ROUND(T44-1.74,3)</f>
        <v>40.241</v>
      </c>
      <c r="AF44" s="516">
        <f t="shared" ref="AF44:AF45" si="64">ROUND(U44-1.74,3)</f>
        <v>41.917999999999999</v>
      </c>
      <c r="AG44" s="516">
        <f t="shared" ref="AG44" si="65">ROUND(V44-1.74,3)</f>
        <v>43.600999999999999</v>
      </c>
      <c r="AH44" s="516">
        <f t="shared" ref="AH44" si="66">ROUND(W44-1.74,3)</f>
        <v>45.286999999999999</v>
      </c>
      <c r="AJ44" s="466"/>
      <c r="AK44" s="466"/>
    </row>
    <row r="45" spans="1:37">
      <c r="A45" s="459" t="s">
        <v>121</v>
      </c>
      <c r="B45" s="457" t="s">
        <v>122</v>
      </c>
      <c r="C45" s="459">
        <v>230</v>
      </c>
      <c r="D45" s="459">
        <v>5</v>
      </c>
      <c r="E45" s="459" t="s">
        <v>19</v>
      </c>
      <c r="F45" s="459" t="s">
        <v>17</v>
      </c>
      <c r="G45" s="459" t="s">
        <v>18</v>
      </c>
      <c r="H45" s="463">
        <f t="shared" si="5"/>
        <v>35.841999999999999</v>
      </c>
      <c r="I45" s="463">
        <f t="shared" si="57"/>
        <v>36.840000000000003</v>
      </c>
      <c r="J45" s="463">
        <f t="shared" si="58"/>
        <v>37.869999999999997</v>
      </c>
      <c r="K45" s="463">
        <f t="shared" si="59"/>
        <v>38.93</v>
      </c>
      <c r="L45" s="463"/>
      <c r="M45" s="463"/>
      <c r="N45" s="463"/>
      <c r="O45" s="583" t="s">
        <v>121</v>
      </c>
      <c r="P45" s="584" t="s">
        <v>122</v>
      </c>
      <c r="Q45" s="583" t="s">
        <v>19</v>
      </c>
      <c r="R45" s="585">
        <f t="shared" si="1"/>
        <v>37.581670652577493</v>
      </c>
      <c r="S45" s="585">
        <f>(VLOOKUP($O45,Rates2025,S$8,0)+$P$4)*(1+$P$3)</f>
        <v>38.580374277782489</v>
      </c>
      <c r="T45" s="585">
        <f>(VLOOKUP($O45,Rates2025,T$8,0)+$P$4)*(1+$P$3)</f>
        <v>39.610215313934994</v>
      </c>
      <c r="U45" s="585">
        <f>(VLOOKUP($O45,Rates2025,U$8,0)+$P$4)*(1+$P$3)</f>
        <v>40.670040523592483</v>
      </c>
      <c r="V45" s="585"/>
      <c r="W45" s="585"/>
      <c r="X45" s="585"/>
      <c r="Y45" s="621"/>
      <c r="Z45" s="514" t="str">
        <f t="shared" si="2"/>
        <v>08568C</v>
      </c>
      <c r="AA45" s="514" t="str">
        <f t="shared" si="3"/>
        <v xml:space="preserve">Public Works Service Worker I </v>
      </c>
      <c r="AB45" s="515" t="str">
        <f t="shared" si="4"/>
        <v>26</v>
      </c>
      <c r="AC45" s="516">
        <f t="shared" si="10"/>
        <v>35.841999999999999</v>
      </c>
      <c r="AD45" s="516">
        <f t="shared" si="62"/>
        <v>36.840000000000003</v>
      </c>
      <c r="AE45" s="516">
        <f t="shared" si="63"/>
        <v>37.869999999999997</v>
      </c>
      <c r="AF45" s="516">
        <f t="shared" si="64"/>
        <v>38.93</v>
      </c>
      <c r="AJ45" s="466"/>
      <c r="AK45" s="466"/>
    </row>
    <row r="46" spans="1:37">
      <c r="A46" s="459" t="s">
        <v>126</v>
      </c>
      <c r="B46" s="457" t="s">
        <v>127</v>
      </c>
      <c r="C46" s="459">
        <v>230</v>
      </c>
      <c r="D46" s="459">
        <v>5</v>
      </c>
      <c r="E46" s="459" t="s">
        <v>124</v>
      </c>
      <c r="F46" s="459" t="s">
        <v>17</v>
      </c>
      <c r="G46" s="459" t="s">
        <v>18</v>
      </c>
      <c r="H46" s="269" t="str">
        <f>"6 months="&amp;TEXT(AC46,"$###.000")</f>
        <v>6 months=$25.715</v>
      </c>
      <c r="I46" s="270" t="str">
        <f>"After 6 months AND holds a CDL ="&amp;TEXT(AD46,"$###.000")</f>
        <v>After 6 months AND holds a CDL =$27.816</v>
      </c>
      <c r="J46" s="463"/>
      <c r="K46" s="463"/>
      <c r="L46" s="463"/>
      <c r="M46" s="463"/>
      <c r="N46" s="463"/>
      <c r="O46" s="583" t="s">
        <v>126</v>
      </c>
      <c r="P46" s="584" t="s">
        <v>127</v>
      </c>
      <c r="Q46" s="583" t="s">
        <v>124</v>
      </c>
      <c r="R46" s="585">
        <f t="shared" si="1"/>
        <v>25.714687499999997</v>
      </c>
      <c r="S46" s="585">
        <f>(VLOOKUP($O46,Rates2025,S$8,0)+$P$4)*(1+$P$3)</f>
        <v>27.815937499999997</v>
      </c>
      <c r="T46" s="585"/>
      <c r="U46" s="585"/>
      <c r="V46" s="585"/>
      <c r="W46" s="585"/>
      <c r="X46" s="585"/>
      <c r="Y46" s="621"/>
      <c r="Z46" s="514" t="str">
        <f t="shared" si="2"/>
        <v>08564C</v>
      </c>
      <c r="AA46" s="514" t="str">
        <f t="shared" si="3"/>
        <v xml:space="preserve">Public Works Service Worker I - Trainee </v>
      </c>
      <c r="AB46" s="515" t="str">
        <f t="shared" si="4"/>
        <v>27</v>
      </c>
      <c r="AC46" s="516">
        <f>ROUND(R46,3)</f>
        <v>25.715</v>
      </c>
      <c r="AD46" s="516">
        <f>ROUND(S46,3)</f>
        <v>27.815999999999999</v>
      </c>
      <c r="AJ46" s="466"/>
      <c r="AK46" s="466"/>
    </row>
    <row r="47" spans="1:37">
      <c r="A47" s="459" t="s">
        <v>131</v>
      </c>
      <c r="B47" s="457" t="s">
        <v>559</v>
      </c>
      <c r="C47" s="459">
        <v>318</v>
      </c>
      <c r="D47" s="459">
        <v>7</v>
      </c>
      <c r="E47" s="459" t="s">
        <v>130</v>
      </c>
      <c r="F47" s="459" t="s">
        <v>17</v>
      </c>
      <c r="G47" s="459" t="s">
        <v>18</v>
      </c>
      <c r="H47" s="463">
        <f t="shared" si="5"/>
        <v>45.475999999999999</v>
      </c>
      <c r="I47" s="463">
        <f t="shared" ref="I47" si="67">AD47</f>
        <v>46.597000000000001</v>
      </c>
      <c r="J47" s="463">
        <f t="shared" ref="J47" si="68">AE47</f>
        <v>47.938000000000002</v>
      </c>
      <c r="K47" s="463"/>
      <c r="L47" s="463"/>
      <c r="M47" s="463"/>
      <c r="N47" s="463"/>
      <c r="O47" s="583" t="s">
        <v>131</v>
      </c>
      <c r="P47" s="584" t="s">
        <v>559</v>
      </c>
      <c r="Q47" s="583" t="s">
        <v>130</v>
      </c>
      <c r="R47" s="585">
        <f t="shared" si="1"/>
        <v>47.215816247222499</v>
      </c>
      <c r="S47" s="585">
        <f>(VLOOKUP($O47,Rates2025,S$8,0)+$P$4)*(1+$P$3)</f>
        <v>48.336763041332496</v>
      </c>
      <c r="T47" s="585">
        <f>(VLOOKUP($O47,Rates2025,T$8,0)+$P$4)*(1+$P$3)</f>
        <v>49.677978186959983</v>
      </c>
      <c r="U47" s="585"/>
      <c r="V47" s="585"/>
      <c r="W47" s="585"/>
      <c r="X47" s="585"/>
      <c r="Y47" s="621"/>
      <c r="Z47" s="514" t="str">
        <f t="shared" si="2"/>
        <v>09194C</v>
      </c>
      <c r="AA47" s="514" t="str">
        <f t="shared" si="3"/>
        <v>Senior Water Treatment Operator*</v>
      </c>
      <c r="AB47" s="515" t="str">
        <f t="shared" si="4"/>
        <v>30</v>
      </c>
      <c r="AC47" s="516">
        <f t="shared" si="10"/>
        <v>45.475999999999999</v>
      </c>
      <c r="AD47" s="516">
        <f t="shared" ref="AD47:AD48" si="69">ROUND(S47-1.74,3)</f>
        <v>46.597000000000001</v>
      </c>
      <c r="AE47" s="516">
        <f t="shared" ref="AE47:AE48" si="70">ROUND(T47-1.74,3)</f>
        <v>47.938000000000002</v>
      </c>
      <c r="AJ47" s="466"/>
      <c r="AK47" s="466"/>
    </row>
    <row r="48" spans="1:37">
      <c r="A48" s="459" t="s">
        <v>134</v>
      </c>
      <c r="B48" s="457" t="s">
        <v>135</v>
      </c>
      <c r="C48" s="459">
        <v>310</v>
      </c>
      <c r="D48" s="459">
        <v>6</v>
      </c>
      <c r="E48" s="459" t="s">
        <v>133</v>
      </c>
      <c r="F48" s="459" t="s">
        <v>17</v>
      </c>
      <c r="G48" s="459" t="s">
        <v>18</v>
      </c>
      <c r="H48" s="463">
        <f t="shared" ref="H48" si="71">AC48</f>
        <v>36.768000000000001</v>
      </c>
      <c r="I48" s="463">
        <f t="shared" ref="I48" si="72">AD48</f>
        <v>38.375</v>
      </c>
      <c r="J48" s="463">
        <f t="shared" ref="J48" si="73">AE48</f>
        <v>39.954999999999998</v>
      </c>
      <c r="K48" s="463">
        <f t="shared" ref="K48" si="74">AF48</f>
        <v>41.652999999999999</v>
      </c>
      <c r="L48" s="463"/>
      <c r="M48" s="463"/>
      <c r="N48" s="463"/>
      <c r="O48" s="583" t="s">
        <v>134</v>
      </c>
      <c r="P48" s="584" t="s">
        <v>135</v>
      </c>
      <c r="Q48" s="583" t="s">
        <v>133</v>
      </c>
      <c r="R48" s="585">
        <f t="shared" si="1"/>
        <v>38.507720318904994</v>
      </c>
      <c r="S48" s="585">
        <f>(VLOOKUP($O48,Rates2025,S$8,0)+$P$4)*(1+$P$3)</f>
        <v>40.115333313749986</v>
      </c>
      <c r="T48" s="585">
        <f>(VLOOKUP($O48,Rates2025,T$8,0)+$P$4)*(1+$P$3)</f>
        <v>41.695268609974988</v>
      </c>
      <c r="U48" s="585">
        <f>(VLOOKUP($O48,Rates2025,U$8,0)+$P$4)*(1+$P$3)</f>
        <v>43.392834125334986</v>
      </c>
      <c r="V48" s="585"/>
      <c r="W48" s="585"/>
      <c r="X48" s="585"/>
      <c r="Y48" s="621"/>
      <c r="Z48" s="514" t="str">
        <f t="shared" si="2"/>
        <v>09184C</v>
      </c>
      <c r="AA48" s="514" t="str">
        <f t="shared" si="3"/>
        <v>Sewer Pumping Station Operator</v>
      </c>
      <c r="AB48" s="515" t="str">
        <f t="shared" si="4"/>
        <v>13</v>
      </c>
      <c r="AC48" s="516">
        <f t="shared" si="10"/>
        <v>36.768000000000001</v>
      </c>
      <c r="AD48" s="516">
        <f t="shared" si="69"/>
        <v>38.375</v>
      </c>
      <c r="AE48" s="516">
        <f t="shared" si="70"/>
        <v>39.954999999999998</v>
      </c>
      <c r="AF48" s="516">
        <f>ROUND(U48-1.74,3)</f>
        <v>41.652999999999999</v>
      </c>
      <c r="AJ48" s="466"/>
      <c r="AK48" s="466"/>
    </row>
    <row r="49" spans="1:37">
      <c r="A49" s="459" t="s">
        <v>136</v>
      </c>
      <c r="B49" s="457" t="s">
        <v>137</v>
      </c>
      <c r="C49" s="459">
        <v>258</v>
      </c>
      <c r="D49" s="459">
        <v>5</v>
      </c>
      <c r="E49" s="459" t="s">
        <v>111</v>
      </c>
      <c r="F49" s="459" t="s">
        <v>17</v>
      </c>
      <c r="G49" s="459" t="s">
        <v>18</v>
      </c>
      <c r="H49" s="463">
        <f t="shared" si="5"/>
        <v>38.93</v>
      </c>
      <c r="I49" s="463"/>
      <c r="J49" s="463"/>
      <c r="K49" s="463"/>
      <c r="L49" s="463"/>
      <c r="M49" s="463"/>
      <c r="N49" s="463"/>
      <c r="O49" s="583" t="s">
        <v>136</v>
      </c>
      <c r="P49" s="584" t="s">
        <v>137</v>
      </c>
      <c r="Q49" s="583" t="s">
        <v>111</v>
      </c>
      <c r="R49" s="585">
        <f t="shared" si="1"/>
        <v>40.670040523592483</v>
      </c>
      <c r="S49" s="585"/>
      <c r="T49" s="585"/>
      <c r="U49" s="585"/>
      <c r="V49" s="585"/>
      <c r="W49" s="585"/>
      <c r="X49" s="585"/>
      <c r="Y49" s="621"/>
      <c r="Z49" s="514" t="str">
        <f t="shared" si="2"/>
        <v>09220C</v>
      </c>
      <c r="AA49" s="514" t="str">
        <f t="shared" si="3"/>
        <v>Shop Repair Worker I</v>
      </c>
      <c r="AB49" s="515" t="str">
        <f t="shared" si="4"/>
        <v>12</v>
      </c>
      <c r="AC49" s="516">
        <f t="shared" si="10"/>
        <v>38.93</v>
      </c>
      <c r="AJ49" s="466"/>
      <c r="AK49" s="466"/>
    </row>
    <row r="50" spans="1:37">
      <c r="A50" s="459" t="s">
        <v>138</v>
      </c>
      <c r="B50" s="457" t="s">
        <v>139</v>
      </c>
      <c r="C50" s="459">
        <v>295</v>
      </c>
      <c r="D50" s="459">
        <v>6</v>
      </c>
      <c r="E50" s="459" t="s">
        <v>308</v>
      </c>
      <c r="F50" s="459" t="s">
        <v>17</v>
      </c>
      <c r="G50" s="459" t="s">
        <v>18</v>
      </c>
      <c r="H50" s="463">
        <f t="shared" ref="H50" si="75">AC50</f>
        <v>41.043999999999997</v>
      </c>
      <c r="I50" s="463">
        <f t="shared" ref="I50" si="76">AD50</f>
        <v>42.002000000000002</v>
      </c>
      <c r="J50" s="463">
        <f t="shared" ref="J50" si="77">AE50</f>
        <v>42.960999999999999</v>
      </c>
      <c r="K50" s="463"/>
      <c r="L50" s="463"/>
      <c r="M50" s="463"/>
      <c r="N50" s="463"/>
      <c r="O50" s="583" t="s">
        <v>138</v>
      </c>
      <c r="P50" s="584" t="s">
        <v>139</v>
      </c>
      <c r="Q50" s="583" t="s">
        <v>308</v>
      </c>
      <c r="R50" s="585">
        <f t="shared" si="1"/>
        <v>42.783924755694997</v>
      </c>
      <c r="S50" s="585">
        <f t="shared" ref="S50:T52" si="78">(VLOOKUP($O50,Rates2025,S$8,0)+$P$4)*(1+$P$3)</f>
        <v>43.742265070412493</v>
      </c>
      <c r="T50" s="585">
        <f t="shared" si="78"/>
        <v>44.70060538512999</v>
      </c>
      <c r="U50" s="585"/>
      <c r="V50" s="585"/>
      <c r="W50" s="585"/>
      <c r="X50" s="585"/>
      <c r="Y50" s="621"/>
      <c r="Z50" s="514" t="str">
        <f t="shared" si="2"/>
        <v>09230C</v>
      </c>
      <c r="AA50" s="514" t="str">
        <f t="shared" si="3"/>
        <v>Shop Repair Worker II</v>
      </c>
      <c r="AB50" s="515" t="str">
        <f t="shared" si="4"/>
        <v>17</v>
      </c>
      <c r="AC50" s="516">
        <f t="shared" si="10"/>
        <v>41.043999999999997</v>
      </c>
      <c r="AD50" s="516">
        <f t="shared" ref="AD50:AD52" si="79">ROUND(S50-1.74,3)</f>
        <v>42.002000000000002</v>
      </c>
      <c r="AE50" s="516">
        <f t="shared" ref="AE50:AE52" si="80">ROUND(T50-1.74,3)</f>
        <v>42.960999999999999</v>
      </c>
      <c r="AJ50" s="466"/>
      <c r="AK50" s="466"/>
    </row>
    <row r="51" spans="1:37">
      <c r="A51" s="459" t="s">
        <v>140</v>
      </c>
      <c r="B51" s="457" t="s">
        <v>141</v>
      </c>
      <c r="C51" s="459">
        <v>260</v>
      </c>
      <c r="D51" s="459">
        <v>5</v>
      </c>
      <c r="E51" s="459">
        <v>8</v>
      </c>
      <c r="F51" s="459" t="s">
        <v>17</v>
      </c>
      <c r="G51" s="459" t="s">
        <v>18</v>
      </c>
      <c r="H51" s="463">
        <f t="shared" si="5"/>
        <v>28.872</v>
      </c>
      <c r="I51" s="463">
        <f t="shared" ref="I51:I52" si="81">AD51</f>
        <v>30.38</v>
      </c>
      <c r="J51" s="463">
        <f t="shared" ref="J51:J52" si="82">AE51</f>
        <v>32.978999999999999</v>
      </c>
      <c r="K51" s="463">
        <f t="shared" ref="K51:K52" si="83">AF51</f>
        <v>34.103000000000002</v>
      </c>
      <c r="L51" s="463">
        <f t="shared" ref="L51:L52" si="84">AG51</f>
        <v>36.365000000000002</v>
      </c>
      <c r="M51" s="463">
        <f t="shared" ref="M51:N52" si="85">AH51</f>
        <v>37.713000000000001</v>
      </c>
      <c r="N51" s="463">
        <f t="shared" si="85"/>
        <v>38.93</v>
      </c>
      <c r="O51" s="583" t="s">
        <v>140</v>
      </c>
      <c r="P51" s="584" t="s">
        <v>141</v>
      </c>
      <c r="Q51" s="583">
        <v>8</v>
      </c>
      <c r="R51" s="585">
        <f t="shared" si="1"/>
        <v>30.611503550107493</v>
      </c>
      <c r="S51" s="585">
        <f t="shared" si="78"/>
        <v>32.119938124897494</v>
      </c>
      <c r="T51" s="585">
        <f t="shared" si="78"/>
        <v>34.719335320292487</v>
      </c>
      <c r="U51" s="585">
        <f>(VLOOKUP($O51,Rates2025,U$8,0)+$P$4)*(1+$P$3)</f>
        <v>35.842588589287487</v>
      </c>
      <c r="V51" s="585">
        <f>(VLOOKUP($O51,Rates2025,V$8,0)+$P$4)*(1+$P$3)</f>
        <v>38.10524045147249</v>
      </c>
      <c r="W51" s="585">
        <f>(VLOOKUP($O51,Rates2025,W$8,0)+$P$4)*(1+$P$3)</f>
        <v>39.453375021754994</v>
      </c>
      <c r="X51" s="585">
        <f>(VLOOKUP($O51,Rates2025,X$8,0)+$P$4)*(1+$P$3)</f>
        <v>40.670040523592483</v>
      </c>
      <c r="Y51" s="621"/>
      <c r="Z51" s="514" t="str">
        <f t="shared" si="2"/>
        <v>09400C</v>
      </c>
      <c r="AA51" s="514" t="str">
        <f t="shared" si="3"/>
        <v>Stock Worker</v>
      </c>
      <c r="AB51" s="515">
        <f t="shared" si="4"/>
        <v>8</v>
      </c>
      <c r="AC51" s="516">
        <f t="shared" si="10"/>
        <v>28.872</v>
      </c>
      <c r="AD51" s="516">
        <f t="shared" si="79"/>
        <v>30.38</v>
      </c>
      <c r="AE51" s="516">
        <f t="shared" si="80"/>
        <v>32.978999999999999</v>
      </c>
      <c r="AF51" s="516">
        <f t="shared" ref="AF51:AF52" si="86">ROUND(U51-1.74,3)</f>
        <v>34.103000000000002</v>
      </c>
      <c r="AG51" s="516">
        <f t="shared" ref="AG51:AG52" si="87">ROUND(V51-1.74,3)</f>
        <v>36.365000000000002</v>
      </c>
      <c r="AH51" s="516">
        <f t="shared" ref="AH51:AH52" si="88">ROUND(W51-1.74,3)</f>
        <v>37.713000000000001</v>
      </c>
      <c r="AI51" s="516">
        <f t="shared" ref="AI51" si="89">ROUND(X51-1.74,3)</f>
        <v>38.93</v>
      </c>
      <c r="AJ51" s="466"/>
      <c r="AK51" s="466"/>
    </row>
    <row r="52" spans="1:37">
      <c r="A52" s="459" t="s">
        <v>142</v>
      </c>
      <c r="B52" s="457" t="s">
        <v>143</v>
      </c>
      <c r="C52" s="459">
        <v>333</v>
      </c>
      <c r="D52" s="459">
        <v>7</v>
      </c>
      <c r="E52" s="459" t="s">
        <v>118</v>
      </c>
      <c r="F52" s="459" t="s">
        <v>17</v>
      </c>
      <c r="G52" s="459" t="s">
        <v>18</v>
      </c>
      <c r="H52" s="463">
        <f t="shared" si="5"/>
        <v>36.877000000000002</v>
      </c>
      <c r="I52" s="463">
        <f t="shared" si="81"/>
        <v>38.558</v>
      </c>
      <c r="J52" s="463">
        <f t="shared" si="82"/>
        <v>40.241</v>
      </c>
      <c r="K52" s="463">
        <f t="shared" si="83"/>
        <v>41.917999999999999</v>
      </c>
      <c r="L52" s="463">
        <f t="shared" si="84"/>
        <v>43.600999999999999</v>
      </c>
      <c r="M52" s="463">
        <f t="shared" si="85"/>
        <v>45.286999999999999</v>
      </c>
      <c r="N52" s="463"/>
      <c r="O52" s="583" t="s">
        <v>142</v>
      </c>
      <c r="P52" s="584" t="s">
        <v>143</v>
      </c>
      <c r="Q52" s="583" t="s">
        <v>118</v>
      </c>
      <c r="R52" s="585">
        <f t="shared" si="1"/>
        <v>38.617277875942499</v>
      </c>
      <c r="S52" s="585">
        <f t="shared" si="78"/>
        <v>40.297544829665</v>
      </c>
      <c r="T52" s="585">
        <f t="shared" si="78"/>
        <v>41.981271495714999</v>
      </c>
      <c r="U52" s="585">
        <f>(VLOOKUP($O52,Rates2025,U$8,0)+$P$4)*(1+$P$3)</f>
        <v>43.658078737109989</v>
      </c>
      <c r="V52" s="585">
        <f>(VLOOKUP($O52,Rates2025,V$8,0)+$P$4)*(1+$P$3)</f>
        <v>45.340652165717486</v>
      </c>
      <c r="W52" s="585">
        <f>(VLOOKUP($O52,Rates2025,W$8,0)+$P$4)*(1+$P$3)</f>
        <v>47.026685306652489</v>
      </c>
      <c r="X52" s="585"/>
      <c r="Y52" s="621"/>
      <c r="Z52" s="514" t="str">
        <f t="shared" si="2"/>
        <v>09284C</v>
      </c>
      <c r="AA52" s="514" t="str">
        <f t="shared" si="3"/>
        <v xml:space="preserve">Stores Center Coordinator   </v>
      </c>
      <c r="AB52" s="515" t="str">
        <f t="shared" si="4"/>
        <v>28</v>
      </c>
      <c r="AC52" s="516">
        <f t="shared" si="10"/>
        <v>36.877000000000002</v>
      </c>
      <c r="AD52" s="516">
        <f t="shared" si="79"/>
        <v>38.558</v>
      </c>
      <c r="AE52" s="516">
        <f t="shared" si="80"/>
        <v>40.241</v>
      </c>
      <c r="AF52" s="516">
        <f t="shared" si="86"/>
        <v>41.917999999999999</v>
      </c>
      <c r="AG52" s="516">
        <f t="shared" si="87"/>
        <v>43.600999999999999</v>
      </c>
      <c r="AH52" s="516">
        <f t="shared" si="88"/>
        <v>45.286999999999999</v>
      </c>
      <c r="AI52" s="516"/>
      <c r="AJ52" s="466"/>
      <c r="AK52" s="466"/>
    </row>
    <row r="53" spans="1:37">
      <c r="A53" s="459" t="s">
        <v>384</v>
      </c>
      <c r="B53" s="211" t="s">
        <v>560</v>
      </c>
      <c r="C53" s="459" t="s">
        <v>561</v>
      </c>
      <c r="D53" s="459" t="s">
        <v>561</v>
      </c>
      <c r="E53" s="459" t="s">
        <v>383</v>
      </c>
      <c r="F53" s="459" t="s">
        <v>17</v>
      </c>
      <c r="G53" s="459" t="s">
        <v>18</v>
      </c>
      <c r="H53" s="463">
        <f t="shared" si="5"/>
        <v>43.508000000000003</v>
      </c>
      <c r="I53" s="463"/>
      <c r="J53" s="463"/>
      <c r="K53" s="463"/>
      <c r="L53" s="463"/>
      <c r="M53" s="463"/>
      <c r="N53" s="463"/>
      <c r="O53" s="583" t="s">
        <v>384</v>
      </c>
      <c r="P53" s="584" t="s">
        <v>560</v>
      </c>
      <c r="Q53" s="583" t="s">
        <v>383</v>
      </c>
      <c r="R53" s="585">
        <f>VLOOKUP($O53,Rates2025,R$8,0)*1.03</f>
        <v>43.508219699999998</v>
      </c>
      <c r="S53" s="585"/>
      <c r="T53" s="585"/>
      <c r="U53" s="585"/>
      <c r="V53" s="585"/>
      <c r="W53" s="585"/>
      <c r="X53" s="585"/>
      <c r="Y53" s="621"/>
      <c r="Z53" s="514" t="str">
        <f t="shared" si="2"/>
        <v>52931C</v>
      </c>
      <c r="AA53" s="514" t="str">
        <f t="shared" si="3"/>
        <v>Union Leader (Park Keeper Crew Leader) - determined by Pk Bd</v>
      </c>
      <c r="AB53" s="515" t="str">
        <f t="shared" si="4"/>
        <v>38</v>
      </c>
      <c r="AC53" s="516">
        <f>ROUND(R53,3)</f>
        <v>43.508000000000003</v>
      </c>
      <c r="AD53" s="516"/>
      <c r="AE53" s="516"/>
      <c r="AF53" s="516"/>
      <c r="AJ53" s="466"/>
      <c r="AK53" s="466"/>
    </row>
    <row r="54" spans="1:37">
      <c r="A54" s="459" t="s">
        <v>513</v>
      </c>
      <c r="B54" s="457" t="s">
        <v>514</v>
      </c>
      <c r="C54" s="459">
        <v>335</v>
      </c>
      <c r="D54" s="459">
        <v>7</v>
      </c>
      <c r="E54" s="459" t="s">
        <v>512</v>
      </c>
      <c r="F54" s="459" t="s">
        <v>17</v>
      </c>
      <c r="G54" s="459" t="s">
        <v>18</v>
      </c>
      <c r="H54" s="463">
        <f t="shared" ref="H54:H57" si="90">AC54</f>
        <v>41.814</v>
      </c>
      <c r="I54" s="463">
        <f t="shared" ref="I54:I57" si="91">AD54</f>
        <v>42.939</v>
      </c>
      <c r="J54" s="463">
        <f t="shared" ref="J54:J57" si="92">AE54</f>
        <v>44.094999999999999</v>
      </c>
      <c r="K54" s="463">
        <f t="shared" ref="K54:K57" si="93">AF54</f>
        <v>45.286999999999999</v>
      </c>
      <c r="L54" s="463"/>
      <c r="M54" s="463"/>
      <c r="N54" s="463"/>
      <c r="O54" s="583" t="s">
        <v>513</v>
      </c>
      <c r="P54" s="584" t="s">
        <v>514</v>
      </c>
      <c r="Q54" s="583" t="s">
        <v>512</v>
      </c>
      <c r="R54" s="585">
        <f t="shared" ref="R54:U57" si="94">(VLOOKUP($O54,Rates2025,R$8,0)+$P$4)*(1+$P$3)</f>
        <v>43.554287367284985</v>
      </c>
      <c r="S54" s="585">
        <f t="shared" si="94"/>
        <v>44.678693873722494</v>
      </c>
      <c r="T54" s="585">
        <f t="shared" si="94"/>
        <v>45.835391028549992</v>
      </c>
      <c r="U54" s="585">
        <f t="shared" si="94"/>
        <v>47.026685306652489</v>
      </c>
      <c r="V54" s="585"/>
      <c r="W54" s="585"/>
      <c r="X54" s="585"/>
      <c r="Y54" s="621"/>
      <c r="Z54" s="514" t="str">
        <f t="shared" si="2"/>
        <v>53050C</v>
      </c>
      <c r="AA54" s="514" t="str">
        <f t="shared" si="3"/>
        <v>Water Treatment Campus Coordinator</v>
      </c>
      <c r="AB54" s="515" t="str">
        <f t="shared" si="4"/>
        <v>41</v>
      </c>
      <c r="AC54" s="516">
        <f t="shared" si="10"/>
        <v>41.814</v>
      </c>
      <c r="AD54" s="516">
        <f t="shared" ref="AD54:AD57" si="95">ROUND(S54-1.74,3)</f>
        <v>42.939</v>
      </c>
      <c r="AE54" s="516">
        <f t="shared" ref="AE54:AE57" si="96">ROUND(T54-1.74,3)</f>
        <v>44.094999999999999</v>
      </c>
      <c r="AF54" s="516">
        <f t="shared" ref="AF54:AF57" si="97">ROUND(U54-1.74,3)</f>
        <v>45.286999999999999</v>
      </c>
      <c r="AG54" s="516"/>
      <c r="AJ54" s="466"/>
      <c r="AK54" s="466"/>
    </row>
    <row r="55" spans="1:37">
      <c r="A55" s="459" t="s">
        <v>144</v>
      </c>
      <c r="B55" s="457" t="s">
        <v>145</v>
      </c>
      <c r="C55" s="459">
        <v>265</v>
      </c>
      <c r="D55" s="459">
        <v>5</v>
      </c>
      <c r="E55" s="459">
        <v>22</v>
      </c>
      <c r="F55" s="459" t="s">
        <v>17</v>
      </c>
      <c r="G55" s="459" t="s">
        <v>18</v>
      </c>
      <c r="H55" s="463">
        <f t="shared" si="90"/>
        <v>41.509</v>
      </c>
      <c r="I55" s="463">
        <f t="shared" si="91"/>
        <v>42.256</v>
      </c>
      <c r="J55" s="463">
        <f t="shared" si="92"/>
        <v>43.002000000000002</v>
      </c>
      <c r="K55" s="463">
        <f t="shared" si="93"/>
        <v>43.749000000000002</v>
      </c>
      <c r="L55" s="463"/>
      <c r="M55" s="463"/>
      <c r="N55" s="463"/>
      <c r="O55" s="583" t="s">
        <v>144</v>
      </c>
      <c r="P55" s="584" t="s">
        <v>145</v>
      </c>
      <c r="Q55" s="583">
        <v>22</v>
      </c>
      <c r="R55" s="585">
        <f t="shared" si="94"/>
        <v>43.248679445022489</v>
      </c>
      <c r="S55" s="585">
        <f t="shared" si="94"/>
        <v>43.995977307762494</v>
      </c>
      <c r="T55" s="585">
        <f t="shared" si="94"/>
        <v>44.742121933059991</v>
      </c>
      <c r="U55" s="585">
        <f t="shared" si="94"/>
        <v>45.489419795800003</v>
      </c>
      <c r="V55" s="585"/>
      <c r="W55" s="585"/>
      <c r="X55" s="585"/>
      <c r="Y55" s="621"/>
      <c r="Z55" s="514" t="str">
        <f t="shared" si="2"/>
        <v>10908C</v>
      </c>
      <c r="AA55" s="514" t="str">
        <f t="shared" si="3"/>
        <v>Water Treatment Operator* (see below for Step)</v>
      </c>
      <c r="AB55" s="515">
        <f t="shared" si="4"/>
        <v>22</v>
      </c>
      <c r="AC55" s="516">
        <f t="shared" si="10"/>
        <v>41.509</v>
      </c>
      <c r="AD55" s="516">
        <f t="shared" si="95"/>
        <v>42.256</v>
      </c>
      <c r="AE55" s="516">
        <f t="shared" si="96"/>
        <v>43.002000000000002</v>
      </c>
      <c r="AF55" s="516">
        <f t="shared" si="97"/>
        <v>43.749000000000002</v>
      </c>
      <c r="AJ55" s="466"/>
      <c r="AK55" s="466"/>
    </row>
    <row r="56" spans="1:37">
      <c r="A56" s="459" t="s">
        <v>146</v>
      </c>
      <c r="B56" s="457" t="s">
        <v>147</v>
      </c>
      <c r="C56" s="459">
        <v>253</v>
      </c>
      <c r="D56" s="459">
        <v>5</v>
      </c>
      <c r="E56" s="459" t="s">
        <v>65</v>
      </c>
      <c r="F56" s="459" t="s">
        <v>17</v>
      </c>
      <c r="G56" s="459" t="s">
        <v>18</v>
      </c>
      <c r="H56" s="463">
        <f t="shared" si="90"/>
        <v>35.1</v>
      </c>
      <c r="I56" s="463">
        <f t="shared" si="91"/>
        <v>36.14</v>
      </c>
      <c r="J56" s="463">
        <f t="shared" si="92"/>
        <v>37.219000000000001</v>
      </c>
      <c r="K56" s="463">
        <f t="shared" si="93"/>
        <v>38.546999999999997</v>
      </c>
      <c r="L56" s="463"/>
      <c r="M56" s="463"/>
      <c r="N56" s="463"/>
      <c r="O56" s="583" t="s">
        <v>146</v>
      </c>
      <c r="P56" s="584" t="s">
        <v>147</v>
      </c>
      <c r="Q56" s="583" t="s">
        <v>65</v>
      </c>
      <c r="R56" s="585">
        <f t="shared" si="94"/>
        <v>36.840138977049996</v>
      </c>
      <c r="S56" s="585">
        <f t="shared" si="94"/>
        <v>37.880359150184987</v>
      </c>
      <c r="T56" s="585">
        <f t="shared" si="94"/>
        <v>38.958636158922488</v>
      </c>
      <c r="U56" s="585">
        <f t="shared" si="94"/>
        <v>40.2871656926825</v>
      </c>
      <c r="V56" s="585"/>
      <c r="W56" s="585"/>
      <c r="X56" s="585"/>
      <c r="Y56" s="621"/>
      <c r="Z56" s="514" t="str">
        <f t="shared" si="2"/>
        <v>11030C</v>
      </c>
      <c r="AA56" s="514" t="str">
        <f t="shared" si="3"/>
        <v>Yard Coordinator I</v>
      </c>
      <c r="AB56" s="515" t="str">
        <f t="shared" si="4"/>
        <v>06B</v>
      </c>
      <c r="AC56" s="516">
        <f t="shared" si="10"/>
        <v>35.1</v>
      </c>
      <c r="AD56" s="516">
        <f t="shared" si="95"/>
        <v>36.14</v>
      </c>
      <c r="AE56" s="516">
        <f t="shared" si="96"/>
        <v>37.219000000000001</v>
      </c>
      <c r="AF56" s="516">
        <f t="shared" si="97"/>
        <v>38.546999999999997</v>
      </c>
      <c r="AJ56" s="466"/>
      <c r="AK56" s="466"/>
    </row>
    <row r="57" spans="1:37">
      <c r="A57" s="459" t="s">
        <v>148</v>
      </c>
      <c r="B57" s="457" t="s">
        <v>149</v>
      </c>
      <c r="C57" s="459">
        <v>275</v>
      </c>
      <c r="D57" s="459">
        <v>6</v>
      </c>
      <c r="E57" s="459">
        <v>13</v>
      </c>
      <c r="F57" s="459" t="s">
        <v>17</v>
      </c>
      <c r="G57" s="459" t="s">
        <v>18</v>
      </c>
      <c r="H57" s="463">
        <f t="shared" si="90"/>
        <v>36.768000000000001</v>
      </c>
      <c r="I57" s="463">
        <f t="shared" si="91"/>
        <v>38.375</v>
      </c>
      <c r="J57" s="463">
        <f t="shared" si="92"/>
        <v>39.954999999999998</v>
      </c>
      <c r="K57" s="463">
        <f t="shared" si="93"/>
        <v>41.652999999999999</v>
      </c>
      <c r="L57" s="463"/>
      <c r="M57" s="463"/>
      <c r="N57" s="463"/>
      <c r="O57" s="583" t="s">
        <v>148</v>
      </c>
      <c r="P57" s="584" t="s">
        <v>149</v>
      </c>
      <c r="Q57" s="583">
        <v>13</v>
      </c>
      <c r="R57" s="585">
        <f t="shared" si="94"/>
        <v>38.507720318904994</v>
      </c>
      <c r="S57" s="585">
        <f t="shared" si="94"/>
        <v>40.115333313749986</v>
      </c>
      <c r="T57" s="585">
        <f t="shared" si="94"/>
        <v>41.695268609974988</v>
      </c>
      <c r="U57" s="585">
        <f t="shared" si="94"/>
        <v>43.392834125334986</v>
      </c>
      <c r="V57" s="585"/>
      <c r="W57" s="585"/>
      <c r="X57" s="585"/>
      <c r="Y57" s="621"/>
      <c r="Z57" s="514" t="str">
        <f t="shared" si="2"/>
        <v>11040C</v>
      </c>
      <c r="AA57" s="514" t="str">
        <f t="shared" si="3"/>
        <v>Yard Coordinator II</v>
      </c>
      <c r="AB57" s="515">
        <f t="shared" si="4"/>
        <v>13</v>
      </c>
      <c r="AC57" s="516">
        <f t="shared" si="10"/>
        <v>36.768000000000001</v>
      </c>
      <c r="AD57" s="516">
        <f t="shared" si="95"/>
        <v>38.375</v>
      </c>
      <c r="AE57" s="516">
        <f t="shared" si="96"/>
        <v>39.954999999999998</v>
      </c>
      <c r="AF57" s="516">
        <f t="shared" si="97"/>
        <v>41.652999999999999</v>
      </c>
      <c r="AJ57" s="466"/>
      <c r="AK57" s="466"/>
    </row>
    <row r="58" spans="1:37">
      <c r="H58" s="463"/>
      <c r="I58" s="463"/>
      <c r="J58" s="463"/>
      <c r="K58" s="463"/>
      <c r="L58" s="463"/>
      <c r="M58" s="463"/>
      <c r="N58" s="463"/>
      <c r="R58" s="585"/>
      <c r="S58" s="585"/>
      <c r="T58" s="585"/>
      <c r="U58" s="585"/>
      <c r="V58" s="585"/>
      <c r="W58" s="585"/>
      <c r="X58" s="585"/>
      <c r="Y58" s="516"/>
    </row>
    <row r="59" spans="1:37">
      <c r="A59" s="467" t="s">
        <v>386</v>
      </c>
      <c r="B59" s="456"/>
      <c r="C59" s="456"/>
      <c r="D59" s="456"/>
      <c r="E59" s="456"/>
      <c r="F59" s="456"/>
      <c r="G59" s="456"/>
      <c r="O59" s="586" t="s">
        <v>386</v>
      </c>
      <c r="P59" s="574"/>
      <c r="Q59" s="574"/>
      <c r="T59" s="583"/>
      <c r="U59" s="583"/>
      <c r="Z59" s="515"/>
    </row>
    <row r="60" spans="1:37">
      <c r="A60" s="468" t="s">
        <v>626</v>
      </c>
      <c r="B60" s="469"/>
      <c r="C60" s="469"/>
      <c r="D60" s="469"/>
      <c r="E60" s="469"/>
      <c r="F60" s="469"/>
      <c r="G60" s="469"/>
      <c r="H60" s="474"/>
      <c r="I60" s="474"/>
      <c r="J60" s="474"/>
      <c r="O60" s="587" t="s">
        <v>626</v>
      </c>
      <c r="P60" s="588"/>
      <c r="Q60" s="588"/>
      <c r="R60" s="589"/>
      <c r="S60" s="589"/>
      <c r="T60" s="590"/>
      <c r="U60" s="583"/>
      <c r="Z60" s="515"/>
    </row>
    <row r="61" spans="1:37">
      <c r="A61" s="470" t="s">
        <v>154</v>
      </c>
      <c r="B61" s="471" t="s">
        <v>457</v>
      </c>
      <c r="C61" s="471"/>
      <c r="D61" s="471"/>
      <c r="E61" s="471"/>
      <c r="F61" s="471"/>
      <c r="G61" s="471"/>
      <c r="O61" s="591" t="s">
        <v>154</v>
      </c>
      <c r="P61" s="592" t="s">
        <v>457</v>
      </c>
      <c r="Q61" s="592"/>
      <c r="T61" s="583"/>
      <c r="U61" s="583"/>
      <c r="Z61" s="515"/>
    </row>
    <row r="62" spans="1:37">
      <c r="A62" s="470" t="s">
        <v>156</v>
      </c>
      <c r="B62" s="471" t="s">
        <v>458</v>
      </c>
      <c r="C62" s="471"/>
      <c r="D62" s="471"/>
      <c r="E62" s="471"/>
      <c r="F62" s="471"/>
      <c r="G62" s="471"/>
      <c r="O62" s="591" t="s">
        <v>156</v>
      </c>
      <c r="P62" s="592" t="s">
        <v>458</v>
      </c>
      <c r="Q62" s="592"/>
      <c r="T62" s="583"/>
      <c r="U62" s="583"/>
      <c r="Z62" s="515"/>
    </row>
    <row r="63" spans="1:37">
      <c r="A63" s="470" t="s">
        <v>158</v>
      </c>
      <c r="B63" s="471" t="s">
        <v>459</v>
      </c>
      <c r="C63" s="471"/>
      <c r="D63" s="471"/>
      <c r="E63" s="471"/>
      <c r="F63" s="471"/>
      <c r="G63" s="471"/>
      <c r="O63" s="591" t="s">
        <v>158</v>
      </c>
      <c r="P63" s="592" t="s">
        <v>459</v>
      </c>
      <c r="Q63" s="592"/>
      <c r="T63" s="583"/>
      <c r="U63" s="583"/>
      <c r="Z63" s="515"/>
    </row>
    <row r="64" spans="1:37">
      <c r="A64" s="456"/>
      <c r="B64" s="456"/>
      <c r="C64" s="456"/>
      <c r="D64" s="456"/>
      <c r="E64" s="456"/>
      <c r="F64" s="456"/>
      <c r="G64" s="456"/>
      <c r="O64" s="574"/>
      <c r="P64" s="574"/>
      <c r="Q64" s="574"/>
      <c r="T64" s="583"/>
      <c r="U64" s="583"/>
      <c r="Z64" s="515"/>
    </row>
    <row r="65" spans="1:29">
      <c r="A65" s="469" t="s">
        <v>627</v>
      </c>
      <c r="B65" s="469"/>
      <c r="C65" s="469"/>
      <c r="D65" s="469"/>
      <c r="E65" s="469"/>
      <c r="F65" s="469"/>
      <c r="G65" s="469"/>
      <c r="H65" s="474"/>
      <c r="I65" s="474"/>
      <c r="J65" s="474"/>
      <c r="K65" s="474"/>
      <c r="L65" s="474"/>
      <c r="O65" s="588" t="s">
        <v>627</v>
      </c>
      <c r="P65" s="588"/>
      <c r="Q65" s="588"/>
      <c r="R65" s="589"/>
      <c r="S65" s="589"/>
      <c r="T65" s="590"/>
      <c r="U65" s="590"/>
      <c r="V65" s="590"/>
      <c r="Z65" s="515"/>
    </row>
    <row r="66" spans="1:29">
      <c r="A66" s="470" t="s">
        <v>154</v>
      </c>
      <c r="B66" s="472" t="s">
        <v>515</v>
      </c>
      <c r="C66" s="472"/>
      <c r="D66" s="472"/>
      <c r="E66" s="472"/>
      <c r="F66" s="472"/>
      <c r="G66" s="472"/>
      <c r="H66" s="474"/>
      <c r="K66" s="474"/>
      <c r="L66" s="474"/>
      <c r="O66" s="591" t="s">
        <v>154</v>
      </c>
      <c r="P66" s="592" t="s">
        <v>515</v>
      </c>
      <c r="Q66" s="592"/>
      <c r="R66" s="589"/>
      <c r="T66" s="583"/>
      <c r="U66" s="590"/>
      <c r="V66" s="590"/>
      <c r="Z66" s="515"/>
    </row>
    <row r="67" spans="1:29">
      <c r="A67" s="470" t="s">
        <v>156</v>
      </c>
      <c r="B67" s="472" t="s">
        <v>457</v>
      </c>
      <c r="C67" s="472"/>
      <c r="D67" s="472"/>
      <c r="E67" s="472"/>
      <c r="F67" s="472"/>
      <c r="G67" s="472"/>
      <c r="H67" s="474"/>
      <c r="K67" s="474"/>
      <c r="L67" s="474"/>
      <c r="O67" s="591" t="s">
        <v>156</v>
      </c>
      <c r="P67" s="592" t="s">
        <v>457</v>
      </c>
      <c r="Q67" s="592"/>
      <c r="R67" s="589"/>
      <c r="T67" s="583"/>
      <c r="U67" s="590"/>
      <c r="V67" s="590"/>
      <c r="Z67" s="515"/>
    </row>
    <row r="68" spans="1:29">
      <c r="A68" s="470" t="s">
        <v>158</v>
      </c>
      <c r="B68" s="472" t="s">
        <v>458</v>
      </c>
      <c r="C68" s="472"/>
      <c r="D68" s="472"/>
      <c r="E68" s="472"/>
      <c r="F68" s="472"/>
      <c r="G68" s="472"/>
      <c r="H68" s="474"/>
      <c r="K68" s="474"/>
      <c r="L68" s="474"/>
      <c r="O68" s="591" t="s">
        <v>158</v>
      </c>
      <c r="P68" s="592" t="s">
        <v>458</v>
      </c>
      <c r="Q68" s="592"/>
      <c r="R68" s="589"/>
      <c r="T68" s="583"/>
      <c r="U68" s="590"/>
      <c r="V68" s="590"/>
      <c r="Z68" s="515"/>
    </row>
    <row r="69" spans="1:29">
      <c r="A69" s="470" t="s">
        <v>170</v>
      </c>
      <c r="B69" s="472" t="s">
        <v>459</v>
      </c>
      <c r="C69" s="472"/>
      <c r="D69" s="472"/>
      <c r="E69" s="472"/>
      <c r="F69" s="472"/>
      <c r="G69" s="472"/>
      <c r="H69" s="474"/>
      <c r="K69" s="474"/>
      <c r="L69" s="474"/>
      <c r="O69" s="591" t="s">
        <v>170</v>
      </c>
      <c r="P69" s="592" t="s">
        <v>459</v>
      </c>
      <c r="Q69" s="592"/>
      <c r="R69" s="589"/>
      <c r="T69" s="583"/>
      <c r="U69" s="590"/>
      <c r="V69" s="590"/>
      <c r="Z69" s="515"/>
    </row>
    <row r="70" spans="1:29">
      <c r="A70" s="456"/>
      <c r="B70" s="456"/>
      <c r="C70" s="456"/>
      <c r="D70" s="456"/>
      <c r="E70" s="456"/>
      <c r="F70" s="456"/>
      <c r="G70" s="456"/>
      <c r="O70" s="574"/>
      <c r="P70" s="574"/>
      <c r="Q70" s="574"/>
      <c r="T70" s="583"/>
      <c r="U70" s="583"/>
      <c r="Z70" s="515"/>
    </row>
    <row r="71" spans="1:29">
      <c r="A71" s="475" t="s">
        <v>562</v>
      </c>
      <c r="B71" s="456"/>
      <c r="C71" s="456"/>
      <c r="D71" s="456"/>
      <c r="E71" s="456"/>
      <c r="F71" s="456"/>
      <c r="G71" s="456"/>
      <c r="O71" s="593" t="s">
        <v>562</v>
      </c>
      <c r="P71" s="574"/>
      <c r="Q71" s="574"/>
      <c r="T71" s="583"/>
      <c r="U71" s="583"/>
      <c r="Z71" s="515"/>
    </row>
    <row r="72" spans="1:29">
      <c r="A72" s="476" t="s">
        <v>447</v>
      </c>
      <c r="B72" s="456"/>
      <c r="C72" s="456"/>
      <c r="D72" s="456"/>
      <c r="E72" s="456"/>
      <c r="F72" s="456"/>
      <c r="G72" s="456"/>
      <c r="O72" s="594" t="s">
        <v>447</v>
      </c>
      <c r="P72" s="574"/>
      <c r="Q72" s="574"/>
      <c r="T72" s="583"/>
      <c r="U72" s="583"/>
      <c r="Z72" s="515"/>
    </row>
    <row r="73" spans="1:29">
      <c r="A73" s="477" t="str">
        <f>"Plant Service Workers who hold a Class 'D' Water Supply Certificate shall receive an additional "&amp;TEXT(AC73,"$0.000")&amp;" per hour for all hours paid."</f>
        <v>Plant Service Workers who hold a Class 'D' Water Supply Certificate shall receive an additional $0.307 per hour for all hours paid.</v>
      </c>
      <c r="B73" s="456"/>
      <c r="C73" s="456"/>
      <c r="D73" s="456"/>
      <c r="E73" s="456"/>
      <c r="F73" s="456"/>
      <c r="G73" s="456"/>
      <c r="O73" s="595" t="str">
        <f>"Plant Service Workers who hold a Class 'D' Water Supply Certificate shall receive an additional "&amp;TEXT(AC73,"$0.000")&amp;" per hour for all hours paid."</f>
        <v>Plant Service Workers who hold a Class 'D' Water Supply Certificate shall receive an additional $0.307 per hour for all hours paid.</v>
      </c>
      <c r="P73" s="574"/>
      <c r="Q73" s="574"/>
      <c r="T73" s="583"/>
      <c r="U73" s="583"/>
      <c r="Z73" s="515" t="s">
        <v>445</v>
      </c>
      <c r="AA73" s="514" t="s">
        <v>389</v>
      </c>
      <c r="AC73" s="517">
        <v>0.3066150703536234</v>
      </c>
    </row>
    <row r="74" spans="1:29">
      <c r="A74" s="456"/>
      <c r="B74" s="456"/>
      <c r="C74" s="456"/>
      <c r="D74" s="456"/>
      <c r="E74" s="456"/>
      <c r="F74" s="456"/>
      <c r="G74" s="456"/>
      <c r="O74" s="574"/>
      <c r="P74" s="574"/>
      <c r="Q74" s="574"/>
      <c r="T74" s="583"/>
      <c r="U74" s="583"/>
      <c r="Z74" s="515"/>
      <c r="AC74" s="515"/>
    </row>
    <row r="75" spans="1:29">
      <c r="A75" s="476" t="s">
        <v>563</v>
      </c>
      <c r="B75" s="456"/>
      <c r="C75" s="456"/>
      <c r="D75" s="456"/>
      <c r="E75" s="456"/>
      <c r="F75" s="456"/>
      <c r="G75" s="456"/>
      <c r="O75" s="594" t="s">
        <v>563</v>
      </c>
      <c r="P75" s="574"/>
      <c r="Q75" s="574"/>
      <c r="T75" s="583"/>
      <c r="U75" s="583"/>
      <c r="Z75" s="515"/>
      <c r="AC75" s="515"/>
    </row>
    <row r="76" spans="1:29">
      <c r="A76" s="478" t="s">
        <v>564</v>
      </c>
      <c r="O76" s="596" t="s">
        <v>564</v>
      </c>
      <c r="T76" s="583"/>
      <c r="U76" s="583"/>
      <c r="Z76" s="515"/>
      <c r="AC76" s="515"/>
    </row>
    <row r="77" spans="1:29">
      <c r="A77" s="478" t="s">
        <v>565</v>
      </c>
      <c r="O77" s="596" t="s">
        <v>565</v>
      </c>
      <c r="T77" s="583"/>
      <c r="U77" s="583"/>
      <c r="Z77" s="515"/>
      <c r="AC77" s="515"/>
    </row>
    <row r="78" spans="1:29">
      <c r="A78" s="479" t="s">
        <v>566</v>
      </c>
      <c r="H78" s="643">
        <f>R78</f>
        <v>0.30631497187499995</v>
      </c>
      <c r="O78" s="597" t="s">
        <v>566</v>
      </c>
      <c r="R78" s="598">
        <f>AC78</f>
        <v>0.30631497187499995</v>
      </c>
      <c r="T78" s="583"/>
      <c r="U78" s="583"/>
      <c r="Z78" s="515" t="s">
        <v>445</v>
      </c>
      <c r="AA78" s="279" t="s">
        <v>567</v>
      </c>
      <c r="AC78" s="517">
        <v>0.30631497187499995</v>
      </c>
    </row>
    <row r="79" spans="1:29">
      <c r="A79" s="479" t="s">
        <v>568</v>
      </c>
      <c r="H79" s="643">
        <f t="shared" ref="H79:H81" si="98">R79</f>
        <v>0.54895156249999988</v>
      </c>
      <c r="O79" s="597" t="s">
        <v>568</v>
      </c>
      <c r="R79" s="598">
        <f>AC79</f>
        <v>0.54895156249999988</v>
      </c>
      <c r="T79" s="583"/>
      <c r="U79" s="583"/>
      <c r="Z79" s="515" t="s">
        <v>445</v>
      </c>
      <c r="AA79" s="279" t="s">
        <v>569</v>
      </c>
      <c r="AC79" s="517">
        <v>0.54895156249999988</v>
      </c>
    </row>
    <row r="80" spans="1:29">
      <c r="A80" s="479" t="s">
        <v>570</v>
      </c>
      <c r="H80" s="643">
        <f t="shared" si="98"/>
        <v>0.82342734374999982</v>
      </c>
      <c r="O80" s="597" t="s">
        <v>570</v>
      </c>
      <c r="R80" s="598">
        <f>AC80</f>
        <v>0.82342734374999982</v>
      </c>
      <c r="T80" s="583"/>
      <c r="U80" s="583"/>
      <c r="Z80" s="515" t="s">
        <v>445</v>
      </c>
      <c r="AA80" s="279" t="s">
        <v>571</v>
      </c>
      <c r="AC80" s="517">
        <v>0.82342734374999982</v>
      </c>
    </row>
    <row r="81" spans="1:35">
      <c r="A81" s="479" t="s">
        <v>572</v>
      </c>
      <c r="H81" s="643">
        <f t="shared" si="98"/>
        <v>1.0979031249999998</v>
      </c>
      <c r="O81" s="597" t="s">
        <v>572</v>
      </c>
      <c r="R81" s="598">
        <f>AC81</f>
        <v>1.0979031249999998</v>
      </c>
      <c r="T81" s="583"/>
      <c r="U81" s="583"/>
      <c r="Z81" s="515" t="s">
        <v>445</v>
      </c>
      <c r="AA81" s="279" t="s">
        <v>573</v>
      </c>
      <c r="AC81" s="517">
        <v>1.0979031249999998</v>
      </c>
    </row>
    <row r="82" spans="1:35">
      <c r="A82" s="480"/>
      <c r="O82" s="577"/>
      <c r="T82" s="583"/>
      <c r="U82" s="583"/>
      <c r="Z82" s="515"/>
      <c r="AC82" s="515"/>
    </row>
    <row r="83" spans="1:35">
      <c r="A83" s="477" t="s">
        <v>628</v>
      </c>
      <c r="O83" s="595" t="s">
        <v>628</v>
      </c>
      <c r="T83" s="583"/>
      <c r="U83" s="583"/>
      <c r="Z83" s="515"/>
      <c r="AC83" s="515"/>
    </row>
    <row r="84" spans="1:35">
      <c r="A84" s="477" t="s">
        <v>176</v>
      </c>
      <c r="O84" s="595" t="s">
        <v>176</v>
      </c>
      <c r="T84" s="583"/>
      <c r="U84" s="583"/>
      <c r="Z84" s="515"/>
      <c r="AC84" s="515"/>
    </row>
    <row r="85" spans="1:35">
      <c r="A85" s="480"/>
      <c r="O85" s="577"/>
      <c r="T85" s="583"/>
      <c r="U85" s="583"/>
      <c r="Z85" s="515"/>
      <c r="AC85" s="515"/>
    </row>
    <row r="86" spans="1:35">
      <c r="A86" s="481" t="s">
        <v>629</v>
      </c>
      <c r="O86" s="588" t="s">
        <v>629</v>
      </c>
      <c r="T86" s="583"/>
      <c r="U86" s="583"/>
      <c r="Z86" s="515"/>
      <c r="AC86" s="515"/>
    </row>
    <row r="87" spans="1:35">
      <c r="A87" s="473" t="s">
        <v>527</v>
      </c>
      <c r="O87" s="589" t="s">
        <v>527</v>
      </c>
      <c r="T87" s="583"/>
      <c r="U87" s="583"/>
      <c r="Z87" s="515"/>
      <c r="AC87" s="515"/>
    </row>
    <row r="88" spans="1:35">
      <c r="A88" s="482" t="str">
        <f>"duties, and shall receive a premium of "&amp;TEXT(AC88,"$0.000" )&amp;" per hour on an 'as worked' basis when so assigned."</f>
        <v>duties, and shall receive a premium of $2.283 per hour on an 'as worked' basis when so assigned.</v>
      </c>
      <c r="O88" s="599" t="str">
        <f>"duties, and shall receive a premium of "&amp;TEXT(AC88,"$0.000" )&amp;" per hour on an 'as worked' basis when so assigned."</f>
        <v>duties, and shall receive a premium of $2.283 per hour on an 'as worked' basis when so assigned.</v>
      </c>
      <c r="T88" s="583"/>
      <c r="U88" s="583"/>
      <c r="Z88" s="515" t="s">
        <v>445</v>
      </c>
      <c r="AA88" s="514" t="s">
        <v>391</v>
      </c>
      <c r="AC88" s="517">
        <v>2.2827619307226286</v>
      </c>
    </row>
    <row r="89" spans="1:35" s="458" customFormat="1">
      <c r="A89" s="482"/>
      <c r="B89" s="465"/>
      <c r="C89" s="465"/>
      <c r="D89" s="465"/>
      <c r="E89" s="465"/>
      <c r="F89" s="465"/>
      <c r="G89" s="465"/>
      <c r="H89" s="459"/>
      <c r="I89" s="459"/>
      <c r="J89" s="459"/>
      <c r="K89" s="459"/>
      <c r="L89" s="459"/>
      <c r="M89" s="459"/>
      <c r="N89" s="459"/>
      <c r="O89" s="599"/>
      <c r="P89" s="573"/>
      <c r="Q89" s="573"/>
      <c r="R89" s="574"/>
      <c r="S89" s="574"/>
      <c r="T89" s="583"/>
      <c r="U89" s="583"/>
      <c r="V89" s="574"/>
      <c r="W89" s="574"/>
      <c r="X89" s="574"/>
      <c r="Y89" s="514"/>
      <c r="Z89" s="515"/>
      <c r="AA89" s="514"/>
      <c r="AB89" s="518"/>
      <c r="AC89" s="517"/>
      <c r="AD89" s="518"/>
      <c r="AE89" s="518"/>
      <c r="AF89" s="518"/>
      <c r="AG89" s="518"/>
      <c r="AH89" s="518"/>
      <c r="AI89" s="518"/>
    </row>
    <row r="90" spans="1:35">
      <c r="A90" s="483" t="s">
        <v>576</v>
      </c>
      <c r="O90" s="600" t="s">
        <v>576</v>
      </c>
      <c r="T90" s="583"/>
      <c r="U90" s="583"/>
      <c r="Z90" s="515"/>
      <c r="AA90" s="517"/>
      <c r="AC90" s="515"/>
    </row>
    <row r="91" spans="1:35">
      <c r="A91" s="480" t="str">
        <f>"Employees assigned to perform encampment cleanup or closure duties will receive a critical response premium of "&amp;TEXT(AC91,"$##0.000")&amp;" per hour"</f>
        <v>Employees assigned to perform encampment cleanup or closure duties will receive a critical response premium of $5.000 per hour</v>
      </c>
      <c r="O91" s="577" t="str">
        <f>"Employees assigned to perform encampment cleanup or closure duties will receive a critical response premium of "&amp;TEXT(AC91,"$##0.000")&amp;" per hour"</f>
        <v>Employees assigned to perform encampment cleanup or closure duties will receive a critical response premium of $5.000 per hour</v>
      </c>
      <c r="T91" s="583"/>
      <c r="U91" s="583"/>
      <c r="Z91" s="515" t="s">
        <v>263</v>
      </c>
      <c r="AA91" s="514" t="s">
        <v>577</v>
      </c>
      <c r="AC91" s="517">
        <v>5</v>
      </c>
    </row>
    <row r="92" spans="1:35">
      <c r="A92" s="480" t="s">
        <v>578</v>
      </c>
      <c r="O92" s="577" t="s">
        <v>578</v>
      </c>
      <c r="T92" s="583"/>
      <c r="U92" s="583"/>
      <c r="Z92" s="515"/>
      <c r="AC92" s="515"/>
    </row>
    <row r="93" spans="1:35">
      <c r="A93" s="482"/>
      <c r="O93" s="599"/>
      <c r="T93" s="583"/>
      <c r="U93" s="583"/>
      <c r="Z93" s="515"/>
      <c r="AC93" s="517"/>
    </row>
    <row r="94" spans="1:35">
      <c r="A94" s="484" t="s">
        <v>579</v>
      </c>
      <c r="O94" s="601" t="s">
        <v>579</v>
      </c>
      <c r="T94" s="583"/>
      <c r="U94" s="583"/>
      <c r="Z94" s="515"/>
      <c r="AC94" s="517"/>
    </row>
    <row r="95" spans="1:35">
      <c r="A95" s="485" t="s">
        <v>351</v>
      </c>
      <c r="O95" s="602" t="s">
        <v>351</v>
      </c>
      <c r="T95" s="583"/>
      <c r="U95" s="583"/>
      <c r="Z95" s="515"/>
      <c r="AC95" s="517"/>
    </row>
    <row r="96" spans="1:35">
      <c r="A96" s="485" t="str">
        <f>"premium of "&amp;TEXT(AC96,"$0.000")&amp;" per hour for all hours spent training shall be paid.  The employer will establish strict assignment protocol."</f>
        <v>premium of $3.843 per hour for all hours spent training shall be paid.  The employer will establish strict assignment protocol.</v>
      </c>
      <c r="O96" s="602" t="str">
        <f>"premium of "&amp;TEXT(AC96,"$0.000")&amp;" per hour for all hours spent training shall be paid.  The employer will establish strict assignment protocol."</f>
        <v>premium of $3.843 per hour for all hours spent training shall be paid.  The employer will establish strict assignment protocol.</v>
      </c>
      <c r="T96" s="583"/>
      <c r="U96" s="583"/>
      <c r="Z96" s="515" t="s">
        <v>445</v>
      </c>
      <c r="AA96" s="514" t="s">
        <v>394</v>
      </c>
      <c r="AC96" s="517">
        <v>3.8425000616716094</v>
      </c>
    </row>
    <row r="97" spans="1:29">
      <c r="A97" s="485"/>
      <c r="O97" s="602"/>
      <c r="T97" s="583"/>
      <c r="U97" s="583"/>
      <c r="Z97" s="515"/>
      <c r="AC97" s="517"/>
    </row>
    <row r="98" spans="1:29">
      <c r="A98" s="484" t="s">
        <v>246</v>
      </c>
      <c r="O98" s="601" t="s">
        <v>246</v>
      </c>
      <c r="T98" s="583"/>
      <c r="U98" s="583"/>
      <c r="Z98" s="515"/>
      <c r="AC98" s="517"/>
    </row>
    <row r="99" spans="1:29">
      <c r="A99" s="486" t="s">
        <v>450</v>
      </c>
      <c r="O99" s="603" t="s">
        <v>450</v>
      </c>
      <c r="T99" s="583"/>
      <c r="U99" s="583"/>
      <c r="Z99" s="515"/>
      <c r="AC99" s="517"/>
    </row>
    <row r="100" spans="1:29">
      <c r="A100" s="487" t="str">
        <f>"shall receive a premium of "&amp;TEXT(AC100,"$0.000")&amp;" per hour for all hours worked performing Bio-Hazard Clean-up duties. "</f>
        <v xml:space="preserve">shall receive a premium of $0.978 per hour for all hours worked performing Bio-Hazard Clean-up duties. </v>
      </c>
      <c r="O100" s="604" t="str">
        <f>"shall receive a premium of "&amp;TEXT(AC100,"$0.000")&amp;" per hour for all hours worked performing Bio-Hazard Clean-up duties. "</f>
        <v xml:space="preserve">shall receive a premium of $0.978 per hour for all hours worked performing Bio-Hazard Clean-up duties. </v>
      </c>
      <c r="T100" s="583"/>
      <c r="U100" s="583"/>
      <c r="Z100" s="515" t="s">
        <v>445</v>
      </c>
      <c r="AA100" s="514" t="s">
        <v>398</v>
      </c>
      <c r="AC100" s="517">
        <v>0.97781298449851195</v>
      </c>
    </row>
    <row r="101" spans="1:29">
      <c r="A101" s="480"/>
      <c r="O101" s="577"/>
      <c r="T101" s="583"/>
      <c r="U101" s="583"/>
      <c r="Z101" s="515"/>
      <c r="AC101" s="515"/>
    </row>
    <row r="102" spans="1:29">
      <c r="A102" s="468" t="s">
        <v>630</v>
      </c>
      <c r="O102" s="587" t="s">
        <v>630</v>
      </c>
      <c r="T102" s="583"/>
      <c r="U102" s="583"/>
      <c r="Z102" s="515"/>
      <c r="AC102" s="515"/>
    </row>
    <row r="103" spans="1:29" ht="30">
      <c r="A103" s="480"/>
      <c r="J103" s="460" t="s">
        <v>581</v>
      </c>
      <c r="K103" s="460" t="s">
        <v>582</v>
      </c>
      <c r="O103" s="577"/>
      <c r="T103" s="580" t="s">
        <v>581</v>
      </c>
      <c r="U103" s="580" t="s">
        <v>582</v>
      </c>
      <c r="Z103" s="515"/>
      <c r="AC103" s="515"/>
    </row>
    <row r="104" spans="1:29">
      <c r="A104" s="473" t="s">
        <v>191</v>
      </c>
      <c r="J104" s="463">
        <f>T104</f>
        <v>0.56949453676510897</v>
      </c>
      <c r="O104" s="589" t="s">
        <v>191</v>
      </c>
      <c r="T104" s="605">
        <f>AC104</f>
        <v>0.56949453676510897</v>
      </c>
      <c r="U104" s="583"/>
      <c r="Z104" s="515" t="s">
        <v>445</v>
      </c>
      <c r="AA104" s="519" t="s">
        <v>403</v>
      </c>
      <c r="AC104" s="517">
        <v>0.56949453676510897</v>
      </c>
    </row>
    <row r="105" spans="1:29">
      <c r="A105" s="473" t="s">
        <v>355</v>
      </c>
      <c r="J105" s="463">
        <f t="shared" ref="J105:K110" si="99">T105</f>
        <v>0.83851159593169522</v>
      </c>
      <c r="K105" s="463">
        <f t="shared" si="99"/>
        <v>1.593172032270221</v>
      </c>
      <c r="O105" s="589" t="s">
        <v>355</v>
      </c>
      <c r="T105" s="605">
        <f>AC105</f>
        <v>0.83851159593169522</v>
      </c>
      <c r="U105" s="605">
        <f>AC106</f>
        <v>1.593172032270221</v>
      </c>
      <c r="Z105" s="515" t="s">
        <v>445</v>
      </c>
      <c r="AA105" s="519" t="s">
        <v>405</v>
      </c>
      <c r="AC105" s="517">
        <v>0.83851159593169522</v>
      </c>
    </row>
    <row r="106" spans="1:29">
      <c r="A106" s="473" t="s">
        <v>193</v>
      </c>
      <c r="J106" s="463" t="str">
        <f t="shared" si="99"/>
        <v>NA</v>
      </c>
      <c r="K106" s="463">
        <f t="shared" si="99"/>
        <v>1.3658970530225651</v>
      </c>
      <c r="O106" s="589" t="s">
        <v>193</v>
      </c>
      <c r="T106" s="583" t="s">
        <v>561</v>
      </c>
      <c r="U106" s="605">
        <f>AC107</f>
        <v>1.3658970530225651</v>
      </c>
      <c r="Z106" s="515" t="s">
        <v>445</v>
      </c>
      <c r="AA106" s="519" t="s">
        <v>407</v>
      </c>
      <c r="AC106" s="517">
        <v>1.593172032270221</v>
      </c>
    </row>
    <row r="107" spans="1:29">
      <c r="A107" s="473" t="s">
        <v>195</v>
      </c>
      <c r="J107" s="463">
        <f t="shared" si="99"/>
        <v>2.3478324686087473</v>
      </c>
      <c r="O107" s="589" t="s">
        <v>195</v>
      </c>
      <c r="T107" s="605">
        <f>AC108</f>
        <v>2.3478324686087473</v>
      </c>
      <c r="U107" s="583"/>
      <c r="Z107" s="515" t="s">
        <v>445</v>
      </c>
      <c r="AA107" s="519" t="s">
        <v>409</v>
      </c>
      <c r="AC107" s="517">
        <v>1.3658970530225651</v>
      </c>
    </row>
    <row r="108" spans="1:29">
      <c r="A108" s="473" t="s">
        <v>196</v>
      </c>
      <c r="J108" s="463">
        <f t="shared" si="99"/>
        <v>2.0962789898292389</v>
      </c>
      <c r="O108" s="589" t="s">
        <v>196</v>
      </c>
      <c r="T108" s="605">
        <f>AC109</f>
        <v>2.0962789898292389</v>
      </c>
      <c r="U108" s="583"/>
      <c r="Z108" s="515" t="s">
        <v>445</v>
      </c>
      <c r="AA108" s="519" t="s">
        <v>411</v>
      </c>
      <c r="AC108" s="517">
        <v>2.3478324686087473</v>
      </c>
    </row>
    <row r="109" spans="1:29">
      <c r="A109" s="473" t="s">
        <v>197</v>
      </c>
      <c r="J109" s="463">
        <f t="shared" si="99"/>
        <v>0.83851159593169522</v>
      </c>
      <c r="O109" s="589" t="s">
        <v>197</v>
      </c>
      <c r="T109" s="605">
        <f>AC110</f>
        <v>0.83851159593169522</v>
      </c>
      <c r="U109" s="583"/>
      <c r="Z109" s="515" t="s">
        <v>445</v>
      </c>
      <c r="AA109" s="519" t="s">
        <v>413</v>
      </c>
      <c r="AC109" s="517">
        <v>2.0962789898292389</v>
      </c>
    </row>
    <row r="110" spans="1:29">
      <c r="A110" s="473" t="s">
        <v>583</v>
      </c>
      <c r="J110" s="463">
        <f t="shared" si="99"/>
        <v>1.0979031249999998</v>
      </c>
      <c r="O110" s="589" t="s">
        <v>583</v>
      </c>
      <c r="T110" s="605">
        <f>AC111</f>
        <v>1.0979031249999998</v>
      </c>
      <c r="U110" s="583"/>
      <c r="Z110" s="515" t="s">
        <v>445</v>
      </c>
      <c r="AA110" s="514" t="s">
        <v>415</v>
      </c>
      <c r="AC110" s="517">
        <v>0.83851159593169522</v>
      </c>
    </row>
    <row r="111" spans="1:29">
      <c r="A111" s="480"/>
      <c r="O111" s="577"/>
      <c r="T111" s="583"/>
      <c r="U111" s="583"/>
      <c r="Z111" s="515" t="s">
        <v>445</v>
      </c>
      <c r="AA111" s="514" t="s">
        <v>584</v>
      </c>
      <c r="AC111" s="517">
        <v>1.0979031249999998</v>
      </c>
    </row>
    <row r="112" spans="1:29">
      <c r="A112" s="469" t="s">
        <v>198</v>
      </c>
      <c r="O112" s="588" t="s">
        <v>198</v>
      </c>
      <c r="T112" s="583"/>
      <c r="U112" s="583"/>
      <c r="Z112" s="515"/>
      <c r="AC112" s="515"/>
    </row>
    <row r="113" spans="1:29">
      <c r="A113" s="488" t="s">
        <v>586</v>
      </c>
      <c r="O113" s="606" t="s">
        <v>199</v>
      </c>
      <c r="T113" s="583"/>
      <c r="U113" s="583"/>
      <c r="Z113" s="515"/>
      <c r="AC113" s="515"/>
    </row>
    <row r="114" spans="1:29">
      <c r="A114" s="488" t="s">
        <v>587</v>
      </c>
      <c r="O114" s="606" t="s">
        <v>200</v>
      </c>
      <c r="T114" s="583"/>
      <c r="U114" s="583"/>
      <c r="Z114" s="515"/>
      <c r="AC114" s="515"/>
    </row>
    <row r="115" spans="1:29">
      <c r="A115" s="488" t="s">
        <v>588</v>
      </c>
      <c r="O115" s="606" t="s">
        <v>201</v>
      </c>
      <c r="T115" s="583"/>
      <c r="U115" s="583"/>
      <c r="Z115" s="515"/>
      <c r="AC115" s="515"/>
    </row>
    <row r="116" spans="1:29">
      <c r="A116" s="488" t="s">
        <v>589</v>
      </c>
      <c r="O116" s="606" t="s">
        <v>202</v>
      </c>
      <c r="T116" s="583"/>
      <c r="U116" s="583"/>
      <c r="Z116" s="515"/>
      <c r="AC116" s="515"/>
    </row>
    <row r="117" spans="1:29">
      <c r="A117" s="488" t="s">
        <v>590</v>
      </c>
      <c r="O117" s="606" t="s">
        <v>203</v>
      </c>
      <c r="T117" s="583"/>
      <c r="U117" s="583"/>
      <c r="Z117" s="515"/>
      <c r="AC117" s="515"/>
    </row>
    <row r="118" spans="1:29">
      <c r="A118" s="488" t="s">
        <v>591</v>
      </c>
      <c r="O118" s="606" t="s">
        <v>204</v>
      </c>
      <c r="T118" s="583"/>
      <c r="U118" s="583"/>
      <c r="Z118" s="515"/>
      <c r="AC118" s="515"/>
    </row>
    <row r="119" spans="1:29">
      <c r="A119" s="488" t="s">
        <v>592</v>
      </c>
      <c r="O119" s="606" t="s">
        <v>205</v>
      </c>
      <c r="T119" s="583"/>
      <c r="U119" s="583"/>
      <c r="Z119" s="515"/>
      <c r="AC119" s="515"/>
    </row>
    <row r="120" spans="1:29">
      <c r="A120" s="488" t="s">
        <v>593</v>
      </c>
      <c r="O120" s="606" t="s">
        <v>206</v>
      </c>
      <c r="T120" s="583"/>
      <c r="U120" s="583"/>
      <c r="Z120" s="515"/>
      <c r="AC120" s="515"/>
    </row>
    <row r="121" spans="1:29">
      <c r="A121" s="477" t="s">
        <v>594</v>
      </c>
      <c r="O121" s="595" t="s">
        <v>207</v>
      </c>
      <c r="T121" s="583"/>
      <c r="U121" s="583"/>
      <c r="Z121" s="515"/>
      <c r="AC121" s="515"/>
    </row>
    <row r="122" spans="1:29">
      <c r="A122" s="477" t="s">
        <v>595</v>
      </c>
      <c r="O122" s="595" t="s">
        <v>208</v>
      </c>
      <c r="T122" s="583"/>
      <c r="U122" s="583"/>
      <c r="Z122" s="515"/>
      <c r="AC122" s="515"/>
    </row>
    <row r="123" spans="1:29">
      <c r="A123" s="477" t="s">
        <v>596</v>
      </c>
      <c r="O123" s="595" t="s">
        <v>209</v>
      </c>
      <c r="T123" s="583"/>
      <c r="U123" s="583"/>
      <c r="Z123" s="515"/>
      <c r="AC123" s="515"/>
    </row>
    <row r="124" spans="1:29">
      <c r="A124" s="488" t="s">
        <v>597</v>
      </c>
      <c r="O124" s="606" t="s">
        <v>210</v>
      </c>
      <c r="T124" s="583"/>
      <c r="U124" s="583"/>
      <c r="Z124" s="515"/>
      <c r="AC124" s="515"/>
    </row>
    <row r="125" spans="1:29">
      <c r="A125" s="488" t="s">
        <v>598</v>
      </c>
      <c r="O125" s="606" t="s">
        <v>211</v>
      </c>
      <c r="T125" s="583"/>
      <c r="U125" s="583"/>
      <c r="Z125" s="515"/>
      <c r="AC125" s="515"/>
    </row>
    <row r="126" spans="1:29">
      <c r="A126" s="488" t="s">
        <v>599</v>
      </c>
      <c r="O126" s="606" t="s">
        <v>212</v>
      </c>
      <c r="T126" s="583"/>
      <c r="U126" s="583"/>
      <c r="Z126" s="515"/>
      <c r="AC126" s="515"/>
    </row>
    <row r="127" spans="1:29">
      <c r="A127" s="489" t="s">
        <v>600</v>
      </c>
      <c r="O127" s="607" t="s">
        <v>213</v>
      </c>
      <c r="T127" s="583"/>
      <c r="U127" s="583"/>
      <c r="Z127" s="515"/>
      <c r="AC127" s="515"/>
    </row>
    <row r="128" spans="1:29">
      <c r="A128" s="489" t="s">
        <v>601</v>
      </c>
      <c r="O128" s="607" t="s">
        <v>356</v>
      </c>
      <c r="T128" s="583"/>
      <c r="U128" s="583"/>
      <c r="Z128" s="515"/>
      <c r="AC128" s="515"/>
    </row>
    <row r="129" spans="1:35">
      <c r="A129" s="489" t="s">
        <v>215</v>
      </c>
      <c r="O129" s="607" t="s">
        <v>215</v>
      </c>
      <c r="T129" s="583"/>
      <c r="U129" s="583"/>
      <c r="Z129" s="515"/>
      <c r="AC129" s="515"/>
    </row>
    <row r="130" spans="1:35">
      <c r="A130" s="488" t="s">
        <v>602</v>
      </c>
      <c r="O130" s="606" t="s">
        <v>216</v>
      </c>
      <c r="T130" s="583"/>
      <c r="U130" s="583"/>
      <c r="Z130" s="515"/>
      <c r="AC130" s="515"/>
    </row>
    <row r="131" spans="1:35" s="159" customFormat="1">
      <c r="A131" s="384" t="s">
        <v>603</v>
      </c>
      <c r="B131" s="162"/>
      <c r="C131" s="162"/>
      <c r="D131" s="162"/>
      <c r="E131" s="162"/>
      <c r="F131" s="162"/>
      <c r="G131" s="162"/>
      <c r="H131" s="162"/>
      <c r="I131" s="162"/>
      <c r="J131" s="162"/>
      <c r="K131" s="220"/>
      <c r="L131" s="162"/>
      <c r="M131" s="162"/>
      <c r="N131" s="162"/>
      <c r="O131" s="558" t="s">
        <v>618</v>
      </c>
      <c r="P131" s="526"/>
      <c r="Q131" s="526"/>
      <c r="R131" s="526"/>
      <c r="S131" s="527"/>
      <c r="T131" s="527"/>
      <c r="U131" s="524"/>
      <c r="V131" s="526"/>
      <c r="W131" s="526"/>
      <c r="X131" s="526"/>
      <c r="Y131" s="286"/>
      <c r="Z131" s="279"/>
      <c r="AA131" s="279"/>
      <c r="AB131" s="279"/>
      <c r="AC131" s="286"/>
      <c r="AD131" s="286"/>
      <c r="AE131" s="279"/>
      <c r="AF131" s="279"/>
      <c r="AG131" s="279"/>
      <c r="AH131" s="279"/>
      <c r="AI131" s="279"/>
    </row>
    <row r="132" spans="1:35" s="159" customFormat="1">
      <c r="A132" s="384" t="s">
        <v>605</v>
      </c>
      <c r="B132" s="162"/>
      <c r="C132" s="162"/>
      <c r="D132" s="162"/>
      <c r="E132" s="162"/>
      <c r="F132" s="162"/>
      <c r="G132" s="162"/>
      <c r="H132" s="162"/>
      <c r="I132" s="162"/>
      <c r="J132" s="162"/>
      <c r="K132" s="220"/>
      <c r="L132" s="162"/>
      <c r="M132" s="162"/>
      <c r="N132" s="162"/>
      <c r="O132" s="558" t="s">
        <v>606</v>
      </c>
      <c r="P132" s="526"/>
      <c r="Q132" s="526"/>
      <c r="R132" s="526"/>
      <c r="S132" s="527"/>
      <c r="T132" s="527"/>
      <c r="U132" s="524"/>
      <c r="V132" s="526"/>
      <c r="W132" s="526"/>
      <c r="X132" s="526"/>
      <c r="Y132" s="286"/>
      <c r="Z132" s="279"/>
      <c r="AA132" s="279"/>
      <c r="AB132" s="279"/>
      <c r="AC132" s="286"/>
      <c r="AD132" s="286"/>
      <c r="AE132" s="279"/>
      <c r="AF132" s="279"/>
      <c r="AG132" s="279"/>
      <c r="AH132" s="279"/>
      <c r="AI132" s="279"/>
    </row>
    <row r="133" spans="1:35" s="159" customFormat="1">
      <c r="A133" s="384"/>
      <c r="B133" s="162"/>
      <c r="C133" s="162"/>
      <c r="D133" s="162"/>
      <c r="E133" s="162"/>
      <c r="F133" s="162"/>
      <c r="G133" s="162"/>
      <c r="H133" s="162"/>
      <c r="I133" s="162"/>
      <c r="J133" s="162"/>
      <c r="K133" s="220"/>
      <c r="L133" s="162"/>
      <c r="M133" s="162"/>
      <c r="N133" s="162"/>
      <c r="O133" s="558"/>
      <c r="P133" s="526"/>
      <c r="Q133" s="526"/>
      <c r="R133" s="526"/>
      <c r="S133" s="527"/>
      <c r="T133" s="527"/>
      <c r="U133" s="524"/>
      <c r="V133" s="526"/>
      <c r="W133" s="526"/>
      <c r="X133" s="526"/>
      <c r="Y133" s="286"/>
      <c r="Z133" s="279"/>
      <c r="AA133" s="279"/>
      <c r="AB133" s="279"/>
      <c r="AC133" s="286"/>
      <c r="AD133" s="286"/>
      <c r="AE133" s="279"/>
      <c r="AF133" s="279"/>
      <c r="AG133" s="279"/>
      <c r="AH133" s="279"/>
      <c r="AI133" s="279"/>
    </row>
    <row r="134" spans="1:35">
      <c r="A134" s="488" t="s">
        <v>357</v>
      </c>
      <c r="B134" s="488"/>
      <c r="C134" s="488"/>
      <c r="D134" s="488"/>
      <c r="E134" s="488"/>
      <c r="F134" s="488"/>
      <c r="G134" s="488"/>
      <c r="H134" s="644"/>
      <c r="I134" s="644"/>
      <c r="J134" s="644"/>
      <c r="O134" s="606" t="s">
        <v>357</v>
      </c>
      <c r="P134" s="606"/>
      <c r="Q134" s="606"/>
      <c r="R134" s="608"/>
      <c r="S134" s="608"/>
      <c r="T134" s="604"/>
      <c r="U134" s="583"/>
      <c r="Z134" s="515"/>
      <c r="AA134" s="520" t="s">
        <v>417</v>
      </c>
      <c r="AC134" s="521"/>
    </row>
    <row r="135" spans="1:35">
      <c r="A135" s="491">
        <f>O135</f>
        <v>0.30254397265646399</v>
      </c>
      <c r="B135" s="487" t="s">
        <v>220</v>
      </c>
      <c r="C135" s="487"/>
      <c r="D135" s="487"/>
      <c r="E135" s="487"/>
      <c r="F135" s="487"/>
      <c r="G135" s="487"/>
      <c r="I135" s="644"/>
      <c r="O135" s="609">
        <f>AC135</f>
        <v>0.30254397265646399</v>
      </c>
      <c r="P135" s="604" t="s">
        <v>220</v>
      </c>
      <c r="Q135" s="604"/>
      <c r="S135" s="604"/>
      <c r="T135" s="583"/>
      <c r="U135" s="583"/>
      <c r="Z135" s="522" t="s">
        <v>445</v>
      </c>
      <c r="AA135" s="519" t="s">
        <v>418</v>
      </c>
      <c r="AC135" s="517">
        <v>0.30254397265646399</v>
      </c>
    </row>
    <row r="136" spans="1:35">
      <c r="A136" s="491">
        <f t="shared" ref="A136:A138" si="100">O136</f>
        <v>0.50275689573794791</v>
      </c>
      <c r="B136" s="487" t="s">
        <v>221</v>
      </c>
      <c r="C136" s="487"/>
      <c r="D136" s="487"/>
      <c r="E136" s="487"/>
      <c r="F136" s="487"/>
      <c r="G136" s="487"/>
      <c r="I136" s="474"/>
      <c r="O136" s="609">
        <f>AC136</f>
        <v>0.50275689573794791</v>
      </c>
      <c r="P136" s="604" t="s">
        <v>221</v>
      </c>
      <c r="Q136" s="604"/>
      <c r="S136" s="592"/>
      <c r="T136" s="583"/>
      <c r="U136" s="583"/>
      <c r="Z136" s="522" t="s">
        <v>445</v>
      </c>
      <c r="AA136" s="519" t="s">
        <v>419</v>
      </c>
      <c r="AC136" s="517">
        <v>0.50275689573794791</v>
      </c>
    </row>
    <row r="137" spans="1:35">
      <c r="A137" s="491">
        <f t="shared" si="100"/>
        <v>0.60657100400242081</v>
      </c>
      <c r="B137" s="487" t="s">
        <v>222</v>
      </c>
      <c r="C137" s="487"/>
      <c r="D137" s="487"/>
      <c r="E137" s="487"/>
      <c r="F137" s="487"/>
      <c r="G137" s="487"/>
      <c r="I137" s="645"/>
      <c r="O137" s="609">
        <f>AC137</f>
        <v>0.60657100400242081</v>
      </c>
      <c r="P137" s="604" t="s">
        <v>222</v>
      </c>
      <c r="Q137" s="604"/>
      <c r="S137" s="610"/>
      <c r="T137" s="583"/>
      <c r="U137" s="583"/>
      <c r="Z137" s="522" t="s">
        <v>445</v>
      </c>
      <c r="AA137" s="519" t="s">
        <v>420</v>
      </c>
      <c r="AC137" s="517">
        <v>0.60657100400242081</v>
      </c>
    </row>
    <row r="138" spans="1:35">
      <c r="A138" s="491">
        <f t="shared" si="100"/>
        <v>0.794919457567965</v>
      </c>
      <c r="B138" s="487" t="s">
        <v>223</v>
      </c>
      <c r="C138" s="487"/>
      <c r="D138" s="487"/>
      <c r="E138" s="487"/>
      <c r="F138" s="487"/>
      <c r="G138" s="487"/>
      <c r="I138" s="474"/>
      <c r="O138" s="609">
        <f>AC138</f>
        <v>0.794919457567965</v>
      </c>
      <c r="P138" s="604" t="s">
        <v>223</v>
      </c>
      <c r="Q138" s="604"/>
      <c r="S138" s="592"/>
      <c r="T138" s="583"/>
      <c r="U138" s="583"/>
      <c r="Z138" s="522" t="s">
        <v>445</v>
      </c>
      <c r="AA138" s="519" t="s">
        <v>421</v>
      </c>
      <c r="AC138" s="517">
        <v>0.794919457567965</v>
      </c>
    </row>
    <row r="139" spans="1:35">
      <c r="A139" s="480"/>
      <c r="O139" s="577"/>
      <c r="T139" s="583"/>
      <c r="U139" s="583"/>
      <c r="Z139" s="515"/>
      <c r="AC139" s="515"/>
    </row>
    <row r="140" spans="1:35">
      <c r="A140" s="490" t="s">
        <v>224</v>
      </c>
      <c r="B140" s="468"/>
      <c r="C140" s="468"/>
      <c r="D140" s="468"/>
      <c r="E140" s="468"/>
      <c r="F140" s="468"/>
      <c r="G140" s="468"/>
      <c r="H140" s="646"/>
      <c r="I140" s="646"/>
      <c r="J140" s="474"/>
      <c r="O140" s="611" t="s">
        <v>224</v>
      </c>
      <c r="P140" s="587"/>
      <c r="Q140" s="587"/>
      <c r="R140" s="612"/>
      <c r="S140" s="612"/>
      <c r="T140" s="592"/>
      <c r="U140" s="583"/>
      <c r="Z140" s="515"/>
      <c r="AC140" s="515"/>
    </row>
    <row r="141" spans="1:35">
      <c r="A141" s="488" t="s">
        <v>631</v>
      </c>
      <c r="B141" s="488"/>
      <c r="C141" s="488"/>
      <c r="D141" s="488"/>
      <c r="E141" s="488"/>
      <c r="F141" s="488"/>
      <c r="G141" s="488"/>
      <c r="H141" s="645"/>
      <c r="I141" s="645"/>
      <c r="O141" s="606" t="s">
        <v>631</v>
      </c>
      <c r="P141" s="606"/>
      <c r="Q141" s="606"/>
      <c r="R141" s="613"/>
      <c r="S141" s="613"/>
      <c r="U141" s="583"/>
      <c r="Z141" s="515"/>
      <c r="AC141" s="515"/>
    </row>
    <row r="142" spans="1:35">
      <c r="A142" s="471" t="str">
        <f>"The employer shall pay a Shift Differential equal to  "&amp;TEXT(AC142,"$0.000")&amp;" per hour for all work shifts that have a "</f>
        <v xml:space="preserve">The employer shall pay a Shift Differential equal to  $1.693 per hour for all work shifts that have a </v>
      </c>
      <c r="B142" s="488"/>
      <c r="C142" s="488"/>
      <c r="D142" s="488"/>
      <c r="E142" s="488"/>
      <c r="F142" s="488"/>
      <c r="G142" s="488"/>
      <c r="H142" s="645"/>
      <c r="I142" s="645"/>
      <c r="J142" s="474"/>
      <c r="O142" s="592" t="str">
        <f>"The employer shall pay a Shift Differential equal to  "&amp;TEXT(AC142,"$0.000")&amp;" per hour for all work shifts that have a "</f>
        <v xml:space="preserve">The employer shall pay a Shift Differential equal to  $1.693 per hour for all work shifts that have a </v>
      </c>
      <c r="P142" s="606"/>
      <c r="Q142" s="606"/>
      <c r="R142" s="613"/>
      <c r="S142" s="613"/>
      <c r="T142" s="592"/>
      <c r="U142" s="583"/>
      <c r="Z142" s="515" t="s">
        <v>445</v>
      </c>
      <c r="AA142" s="514" t="s">
        <v>423</v>
      </c>
      <c r="AC142" s="517">
        <v>1.693198219480879</v>
      </c>
    </row>
    <row r="143" spans="1:35">
      <c r="A143" s="488" t="s">
        <v>359</v>
      </c>
      <c r="B143" s="488"/>
      <c r="C143" s="488"/>
      <c r="D143" s="488"/>
      <c r="E143" s="488"/>
      <c r="F143" s="488"/>
      <c r="G143" s="488"/>
      <c r="H143" s="646"/>
      <c r="I143" s="646"/>
      <c r="J143" s="474"/>
      <c r="O143" s="606" t="s">
        <v>359</v>
      </c>
      <c r="P143" s="606"/>
      <c r="Q143" s="606"/>
      <c r="R143" s="612"/>
      <c r="S143" s="612"/>
      <c r="T143" s="592"/>
      <c r="U143" s="583"/>
      <c r="Z143" s="515" t="s">
        <v>445</v>
      </c>
      <c r="AA143" s="514" t="s">
        <v>425</v>
      </c>
      <c r="AC143" s="517">
        <v>1.693198219480879</v>
      </c>
    </row>
    <row r="144" spans="1:35">
      <c r="A144" s="488" t="s">
        <v>227</v>
      </c>
      <c r="B144" s="488"/>
      <c r="C144" s="488"/>
      <c r="D144" s="488"/>
      <c r="E144" s="488"/>
      <c r="F144" s="488"/>
      <c r="G144" s="488"/>
      <c r="H144" s="474"/>
      <c r="I144" s="474"/>
      <c r="J144" s="474"/>
      <c r="O144" s="606" t="s">
        <v>227</v>
      </c>
      <c r="P144" s="606"/>
      <c r="Q144" s="606"/>
      <c r="R144" s="589"/>
      <c r="S144" s="589"/>
      <c r="T144" s="592"/>
      <c r="U144" s="583"/>
      <c r="Z144" s="515" t="s">
        <v>445</v>
      </c>
      <c r="AA144" s="514" t="s">
        <v>427</v>
      </c>
      <c r="AC144" s="517">
        <v>1.693198219480879</v>
      </c>
    </row>
    <row r="145" spans="1:29">
      <c r="A145" s="488" t="s">
        <v>228</v>
      </c>
      <c r="B145" s="488"/>
      <c r="C145" s="488"/>
      <c r="D145" s="488"/>
      <c r="E145" s="488"/>
      <c r="F145" s="488"/>
      <c r="G145" s="488"/>
      <c r="H145" s="474"/>
      <c r="I145" s="474"/>
      <c r="J145" s="474"/>
      <c r="O145" s="606" t="s">
        <v>228</v>
      </c>
      <c r="P145" s="606"/>
      <c r="Q145" s="606"/>
      <c r="R145" s="589"/>
      <c r="S145" s="589"/>
      <c r="T145" s="592"/>
      <c r="U145" s="583"/>
      <c r="Z145" s="515"/>
      <c r="AC145" s="517"/>
    </row>
    <row r="146" spans="1:29">
      <c r="A146" s="492" t="s">
        <v>533</v>
      </c>
      <c r="B146" s="492"/>
      <c r="C146" s="492"/>
      <c r="D146" s="492"/>
      <c r="E146" s="492"/>
      <c r="F146" s="492"/>
      <c r="G146" s="492"/>
      <c r="H146" s="474"/>
      <c r="I146" s="474"/>
      <c r="J146" s="644"/>
      <c r="O146" s="606" t="s">
        <v>533</v>
      </c>
      <c r="P146" s="606"/>
      <c r="Q146" s="606"/>
      <c r="R146" s="589"/>
      <c r="S146" s="589"/>
      <c r="T146" s="604"/>
      <c r="U146" s="583"/>
      <c r="Z146" s="515"/>
      <c r="AC146" s="517"/>
    </row>
    <row r="147" spans="1:29">
      <c r="A147" s="480"/>
      <c r="O147" s="577"/>
      <c r="T147" s="583"/>
      <c r="U147" s="583"/>
      <c r="Z147" s="515"/>
      <c r="AC147" s="517"/>
    </row>
    <row r="148" spans="1:29">
      <c r="A148" s="493" t="s">
        <v>534</v>
      </c>
      <c r="O148" s="614" t="s">
        <v>534</v>
      </c>
      <c r="T148" s="583"/>
      <c r="U148" s="583"/>
      <c r="Z148" s="515"/>
      <c r="AC148" s="517"/>
    </row>
    <row r="149" spans="1:29">
      <c r="A149" s="493" t="s">
        <v>535</v>
      </c>
      <c r="O149" s="614" t="s">
        <v>535</v>
      </c>
      <c r="T149" s="583"/>
      <c r="U149" s="583"/>
      <c r="Z149" s="515"/>
      <c r="AC149" s="517"/>
    </row>
    <row r="150" spans="1:29">
      <c r="A150" s="494" t="str">
        <f xml:space="preserve"> "The Employer shall pay an Evening Shift Differential equal to  "&amp;TEXT(AC150,"$0.000")&amp;" per hour for all Water Treatment Operator and Senior Water Treatment Operator"</f>
        <v>The Employer shall pay an Evening Shift Differential equal to  $1.693 per hour for all Water Treatment Operator and Senior Water Treatment Operator</v>
      </c>
      <c r="O150" s="615" t="str">
        <f xml:space="preserve"> "The Employer shall pay an Evening Shift Differential equal to  "&amp;TEXT(AC150,"$0.000")&amp;" per hour for all Water Treatment Operator and Senior Water Treatment Operator"</f>
        <v>The Employer shall pay an Evening Shift Differential equal to  $1.693 per hour for all Water Treatment Operator and Senior Water Treatment Operator</v>
      </c>
      <c r="T150" s="583"/>
      <c r="U150" s="583"/>
      <c r="Z150" s="515" t="s">
        <v>445</v>
      </c>
      <c r="AA150" s="514" t="s">
        <v>536</v>
      </c>
      <c r="AC150" s="517">
        <v>1.693198219480879</v>
      </c>
    </row>
    <row r="151" spans="1:29">
      <c r="A151" s="494" t="s">
        <v>537</v>
      </c>
      <c r="O151" s="615" t="s">
        <v>537</v>
      </c>
      <c r="T151" s="583"/>
      <c r="U151" s="583"/>
      <c r="Z151" s="515"/>
      <c r="AC151" s="517"/>
    </row>
    <row r="152" spans="1:29">
      <c r="A152" s="494" t="s">
        <v>538</v>
      </c>
      <c r="O152" s="615" t="s">
        <v>538</v>
      </c>
      <c r="T152" s="583"/>
      <c r="U152" s="583"/>
      <c r="Z152" s="515"/>
      <c r="AC152" s="517"/>
    </row>
    <row r="153" spans="1:29">
      <c r="A153" s="493" t="s">
        <v>539</v>
      </c>
      <c r="O153" s="614" t="s">
        <v>539</v>
      </c>
      <c r="T153" s="583"/>
      <c r="U153" s="583"/>
      <c r="Z153" s="515"/>
      <c r="AC153" s="517"/>
    </row>
    <row r="154" spans="1:29">
      <c r="A154" s="494" t="str">
        <f>"The Employer shall pay a Weekend Shift Differential equal to "&amp;TEXT(AC154,"$0.000")&amp;" per hour for all Water Treatment Operator and Senior Water Treatment Operator"</f>
        <v>The Employer shall pay a Weekend Shift Differential equal to $2.306 per hour for all Water Treatment Operator and Senior Water Treatment Operator</v>
      </c>
      <c r="O154" s="615" t="str">
        <f>"The Employer shall pay a Weekend Shift Differential equal to "&amp;TEXT(AC154,"$0.000")&amp;" per hour for all Water Treatment Operator and Senior Water Treatment Operator"</f>
        <v>The Employer shall pay a Weekend Shift Differential equal to $2.306 per hour for all Water Treatment Operator and Senior Water Treatment Operator</v>
      </c>
      <c r="T154" s="583"/>
      <c r="U154" s="583"/>
      <c r="Z154" s="515" t="s">
        <v>445</v>
      </c>
      <c r="AA154" s="514" t="s">
        <v>540</v>
      </c>
      <c r="AC154" s="517">
        <v>2.3055965624999994</v>
      </c>
    </row>
    <row r="155" spans="1:29">
      <c r="A155" s="494" t="s">
        <v>541</v>
      </c>
      <c r="O155" s="615" t="s">
        <v>541</v>
      </c>
      <c r="T155" s="583"/>
      <c r="U155" s="583"/>
      <c r="Z155" s="515"/>
    </row>
    <row r="156" spans="1:29">
      <c r="A156" s="494" t="s">
        <v>542</v>
      </c>
      <c r="O156" s="615" t="s">
        <v>542</v>
      </c>
      <c r="T156" s="583"/>
      <c r="U156" s="583"/>
      <c r="Z156" s="515"/>
    </row>
    <row r="157" spans="1:29">
      <c r="A157" s="480"/>
      <c r="O157" s="577"/>
      <c r="T157" s="583"/>
      <c r="U157" s="583"/>
      <c r="Z157" s="515"/>
    </row>
    <row r="158" spans="1:29">
      <c r="A158" s="495" t="s">
        <v>632</v>
      </c>
      <c r="O158" s="616" t="s">
        <v>632</v>
      </c>
      <c r="T158" s="583"/>
      <c r="U158" s="583"/>
      <c r="Z158" s="515"/>
    </row>
    <row r="159" spans="1:29">
      <c r="A159" s="496" t="s">
        <v>619</v>
      </c>
      <c r="O159" s="617" t="s">
        <v>619</v>
      </c>
      <c r="T159" s="583"/>
      <c r="U159" s="583"/>
      <c r="Z159" s="515"/>
    </row>
    <row r="160" spans="1:29">
      <c r="A160" s="473" t="s">
        <v>620</v>
      </c>
      <c r="O160" s="589" t="s">
        <v>620</v>
      </c>
      <c r="T160" s="583"/>
      <c r="U160" s="583"/>
      <c r="Z160" s="515"/>
    </row>
    <row r="161" spans="1:26">
      <c r="A161" s="473"/>
      <c r="O161" s="589"/>
      <c r="T161" s="583"/>
      <c r="U161" s="583"/>
      <c r="Z161" s="515"/>
    </row>
    <row r="162" spans="1:26">
      <c r="A162" s="496" t="s">
        <v>621</v>
      </c>
      <c r="O162" s="617" t="s">
        <v>621</v>
      </c>
      <c r="T162" s="583"/>
      <c r="U162" s="583"/>
      <c r="Z162" s="515"/>
    </row>
    <row r="163" spans="1:26">
      <c r="A163" s="496" t="s">
        <v>622</v>
      </c>
      <c r="O163" s="617" t="s">
        <v>622</v>
      </c>
      <c r="T163" s="583"/>
      <c r="U163" s="583"/>
      <c r="Z163" s="515"/>
    </row>
    <row r="164" spans="1:26">
      <c r="A164" s="473"/>
      <c r="O164" s="589"/>
      <c r="T164" s="583"/>
      <c r="U164" s="583"/>
      <c r="Z164" s="515"/>
    </row>
    <row r="165" spans="1:26">
      <c r="A165" s="496" t="s">
        <v>623</v>
      </c>
      <c r="O165" s="617" t="s">
        <v>623</v>
      </c>
      <c r="T165" s="583"/>
      <c r="U165" s="583"/>
      <c r="Z165" s="515"/>
    </row>
    <row r="166" spans="1:26">
      <c r="A166" s="473" t="s">
        <v>624</v>
      </c>
      <c r="O166" s="589" t="s">
        <v>624</v>
      </c>
      <c r="T166" s="583"/>
      <c r="U166" s="583"/>
      <c r="Z166" s="515"/>
    </row>
    <row r="167" spans="1:26">
      <c r="A167" s="480"/>
      <c r="O167" s="577"/>
      <c r="Z167" s="515"/>
    </row>
    <row r="168" spans="1:26">
      <c r="A168" s="480"/>
      <c r="O168" s="577"/>
      <c r="Z168" s="515"/>
    </row>
    <row r="169" spans="1:26">
      <c r="A169" s="480"/>
      <c r="O169" s="577"/>
      <c r="Z169" s="515"/>
    </row>
    <row r="170" spans="1:26">
      <c r="A170" s="480"/>
      <c r="O170" s="577"/>
      <c r="Z170" s="515"/>
    </row>
    <row r="171" spans="1:26">
      <c r="A171" s="480"/>
      <c r="O171" s="577"/>
      <c r="Z171" s="515"/>
    </row>
    <row r="172" spans="1:26">
      <c r="A172" s="480"/>
      <c r="O172" s="577"/>
      <c r="Z172" s="515"/>
    </row>
    <row r="173" spans="1:26">
      <c r="A173" s="480"/>
      <c r="O173" s="577"/>
      <c r="Z173" s="515"/>
    </row>
    <row r="174" spans="1:26">
      <c r="A174" s="480"/>
      <c r="O174" s="577"/>
      <c r="Z174" s="515"/>
    </row>
    <row r="175" spans="1:26">
      <c r="A175" s="480"/>
      <c r="O175" s="577"/>
      <c r="Z175" s="515"/>
    </row>
    <row r="176" spans="1:26">
      <c r="A176" s="480"/>
      <c r="O176" s="577"/>
      <c r="Z176" s="515"/>
    </row>
    <row r="177" spans="1:26">
      <c r="A177" s="221" t="s">
        <v>614</v>
      </c>
      <c r="B177" s="221"/>
      <c r="C177" s="220"/>
      <c r="D177" s="220"/>
      <c r="E177" s="220"/>
      <c r="F177" s="220"/>
      <c r="G177" s="162"/>
      <c r="H177" s="162" t="s">
        <v>615</v>
      </c>
      <c r="O177" s="577"/>
      <c r="Z177" s="515"/>
    </row>
    <row r="178" spans="1:26">
      <c r="A178" s="480"/>
      <c r="O178" s="577"/>
      <c r="Z178" s="515"/>
    </row>
    <row r="179" spans="1:26">
      <c r="A179" s="480"/>
      <c r="O179" s="577"/>
      <c r="Z179" s="515"/>
    </row>
    <row r="180" spans="1:26">
      <c r="A180" s="480"/>
      <c r="O180" s="577"/>
      <c r="Z180" s="515"/>
    </row>
    <row r="181" spans="1:26">
      <c r="A181" s="480"/>
      <c r="O181" s="577"/>
      <c r="Z181" s="515"/>
    </row>
    <row r="182" spans="1:26">
      <c r="A182" s="480"/>
      <c r="O182" s="577"/>
      <c r="Z182" s="515"/>
    </row>
  </sheetData>
  <sheetProtection sheet="1" objects="1" scenarios="1" autoFilter="0"/>
  <autoFilter ref="A9:AS9" xr:uid="{137D0062-6063-4DAB-BA9E-C7DD03D4A01E}"/>
  <phoneticPr fontId="10" type="noConversion"/>
  <printOptions horizontalCentered="1"/>
  <pageMargins left="0.25" right="0.25" top="0.75" bottom="0.5" header="0.3" footer="0.3"/>
  <pageSetup scale="84" fitToHeight="0" orientation="landscape" r:id="rId1"/>
  <headerFooter alignWithMargins="0">
    <oddHeader>&amp;C&amp;"-,Bold"&amp;12City of Minneapolis Last, Best &amp; Final Offer for #363&amp;"Arial,Regular"&amp;10
&amp;"Calibri,Italic"February 22, 2024</oddHeader>
    <oddFooter>&amp;R&amp;"Calibri,Regular"&amp;P</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E6200-C343-4C80-AD80-6C1A7BA7468A}">
  <sheetPr codeName="Sheet16"/>
  <dimension ref="A1:C36"/>
  <sheetViews>
    <sheetView topLeftCell="A19" zoomScaleNormal="100" workbookViewId="0">
      <selection activeCell="C46" sqref="C46"/>
    </sheetView>
  </sheetViews>
  <sheetFormatPr defaultRowHeight="12.75"/>
  <cols>
    <col min="1" max="1" width="10.140625" style="334" bestFit="1" customWidth="1"/>
    <col min="2" max="2" width="11.85546875" style="334" bestFit="1" customWidth="1"/>
    <col min="3" max="3" width="121.7109375" style="334" bestFit="1" customWidth="1"/>
  </cols>
  <sheetData>
    <row r="1" spans="1:3">
      <c r="A1" s="334" t="s">
        <v>633</v>
      </c>
      <c r="B1" s="334" t="s">
        <v>634</v>
      </c>
      <c r="C1" s="334" t="s">
        <v>635</v>
      </c>
    </row>
    <row r="2" spans="1:3">
      <c r="C2" s="337" t="s">
        <v>636</v>
      </c>
    </row>
    <row r="3" spans="1:3">
      <c r="C3" s="338" t="s">
        <v>16</v>
      </c>
    </row>
    <row r="4" spans="1:3">
      <c r="C4" s="338" t="s">
        <v>23</v>
      </c>
    </row>
    <row r="5" spans="1:3">
      <c r="C5" s="338" t="s">
        <v>27</v>
      </c>
    </row>
    <row r="6" spans="1:3">
      <c r="C6" s="338" t="s">
        <v>29</v>
      </c>
    </row>
    <row r="7" spans="1:3">
      <c r="C7" s="338" t="s">
        <v>33</v>
      </c>
    </row>
    <row r="8" spans="1:3">
      <c r="C8" s="337" t="s">
        <v>637</v>
      </c>
    </row>
    <row r="9" spans="1:3">
      <c r="C9" s="337" t="s">
        <v>638</v>
      </c>
    </row>
    <row r="10" spans="1:3">
      <c r="C10" s="337" t="s">
        <v>639</v>
      </c>
    </row>
    <row r="11" spans="1:3">
      <c r="C11" s="337" t="s">
        <v>640</v>
      </c>
    </row>
    <row r="12" spans="1:3">
      <c r="A12" s="334" t="s">
        <v>633</v>
      </c>
      <c r="B12" s="334" t="s">
        <v>634</v>
      </c>
      <c r="C12" s="334" t="s">
        <v>641</v>
      </c>
    </row>
    <row r="13" spans="1:3">
      <c r="C13" s="337" t="s">
        <v>642</v>
      </c>
    </row>
    <row r="14" spans="1:3">
      <c r="C14" s="337" t="s">
        <v>643</v>
      </c>
    </row>
    <row r="15" spans="1:3">
      <c r="C15" s="337" t="s">
        <v>644</v>
      </c>
    </row>
    <row r="16" spans="1:3">
      <c r="C16" s="337" t="s">
        <v>640</v>
      </c>
    </row>
    <row r="17" spans="1:3">
      <c r="A17" s="334" t="s">
        <v>633</v>
      </c>
      <c r="B17" s="334" t="s">
        <v>634</v>
      </c>
      <c r="C17" s="334" t="s">
        <v>645</v>
      </c>
    </row>
    <row r="18" spans="1:3">
      <c r="C18" s="337" t="s">
        <v>646</v>
      </c>
    </row>
    <row r="19" spans="1:3">
      <c r="C19" s="337" t="s">
        <v>647</v>
      </c>
    </row>
    <row r="20" spans="1:3">
      <c r="C20" s="337" t="s">
        <v>648</v>
      </c>
    </row>
    <row r="21" spans="1:3">
      <c r="C21" s="337" t="s">
        <v>640</v>
      </c>
    </row>
    <row r="22" spans="1:3" ht="25.5">
      <c r="A22" s="335">
        <v>43805</v>
      </c>
      <c r="B22" s="334" t="s">
        <v>649</v>
      </c>
      <c r="C22" s="336" t="s">
        <v>650</v>
      </c>
    </row>
    <row r="23" spans="1:3" ht="38.25">
      <c r="A23" s="335">
        <v>43825</v>
      </c>
      <c r="B23" s="334" t="s">
        <v>649</v>
      </c>
      <c r="C23" s="336" t="s">
        <v>651</v>
      </c>
    </row>
    <row r="24" spans="1:3">
      <c r="A24" s="335">
        <v>44172</v>
      </c>
      <c r="B24" s="334" t="s">
        <v>649</v>
      </c>
      <c r="C24" s="334" t="s">
        <v>652</v>
      </c>
    </row>
    <row r="25" spans="1:3">
      <c r="A25" s="334" t="s">
        <v>653</v>
      </c>
      <c r="B25" s="334" t="s">
        <v>649</v>
      </c>
      <c r="C25" s="334" t="s">
        <v>654</v>
      </c>
    </row>
    <row r="26" spans="1:3">
      <c r="A26" s="334" t="s">
        <v>653</v>
      </c>
      <c r="B26" s="334" t="s">
        <v>649</v>
      </c>
      <c r="C26" s="334" t="s">
        <v>655</v>
      </c>
    </row>
    <row r="27" spans="1:3">
      <c r="A27" s="334" t="s">
        <v>653</v>
      </c>
      <c r="B27" s="334" t="s">
        <v>649</v>
      </c>
      <c r="C27" s="334" t="s">
        <v>656</v>
      </c>
    </row>
    <row r="28" spans="1:3">
      <c r="A28" s="334" t="s">
        <v>653</v>
      </c>
      <c r="B28" s="334" t="s">
        <v>649</v>
      </c>
      <c r="C28" s="334" t="s">
        <v>657</v>
      </c>
    </row>
    <row r="29" spans="1:3">
      <c r="A29" s="335">
        <v>44182</v>
      </c>
      <c r="B29" s="334" t="s">
        <v>649</v>
      </c>
      <c r="C29" s="334" t="s">
        <v>658</v>
      </c>
    </row>
    <row r="30" spans="1:3">
      <c r="A30" s="335">
        <v>44357</v>
      </c>
      <c r="B30" s="334" t="s">
        <v>649</v>
      </c>
      <c r="C30" s="334" t="s">
        <v>659</v>
      </c>
    </row>
    <row r="31" spans="1:3">
      <c r="A31" s="335">
        <v>44357</v>
      </c>
      <c r="B31" s="334" t="s">
        <v>649</v>
      </c>
      <c r="C31" s="334" t="s">
        <v>660</v>
      </c>
    </row>
    <row r="32" spans="1:3">
      <c r="A32" s="335">
        <v>44938</v>
      </c>
      <c r="B32" s="334" t="s">
        <v>649</v>
      </c>
      <c r="C32" s="334" t="s">
        <v>661</v>
      </c>
    </row>
    <row r="33" spans="1:3">
      <c r="A33" s="335">
        <v>45132</v>
      </c>
      <c r="B33" s="334" t="s">
        <v>662</v>
      </c>
      <c r="C33" s="334" t="s">
        <v>663</v>
      </c>
    </row>
    <row r="34" spans="1:3">
      <c r="A34" s="335">
        <v>45145</v>
      </c>
      <c r="B34" s="334" t="s">
        <v>662</v>
      </c>
      <c r="C34" s="334" t="s">
        <v>664</v>
      </c>
    </row>
    <row r="35" spans="1:3">
      <c r="A35" s="335">
        <v>45464</v>
      </c>
      <c r="B35" s="334" t="s">
        <v>649</v>
      </c>
      <c r="C35" s="334" t="s">
        <v>665</v>
      </c>
    </row>
    <row r="36" spans="1:3">
      <c r="A36" s="335">
        <v>45519</v>
      </c>
      <c r="B36" s="334" t="s">
        <v>662</v>
      </c>
      <c r="C36" s="334" t="s">
        <v>666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BD9C3-0410-410B-89A6-B3F481F35393}">
  <sheetPr codeName="Sheet17"/>
  <dimension ref="A1:H19"/>
  <sheetViews>
    <sheetView workbookViewId="0">
      <selection activeCell="L10" sqref="L10"/>
    </sheetView>
  </sheetViews>
  <sheetFormatPr defaultRowHeight="12.75"/>
  <cols>
    <col min="3" max="3" width="9.5703125" bestFit="1" customWidth="1"/>
    <col min="5" max="5" width="11.140625" bestFit="1" customWidth="1"/>
  </cols>
  <sheetData>
    <row r="1" spans="1:8">
      <c r="A1" s="331" t="s">
        <v>667</v>
      </c>
    </row>
    <row r="2" spans="1:8">
      <c r="A2" s="329" t="s">
        <v>668</v>
      </c>
      <c r="B2" s="329" t="s">
        <v>669</v>
      </c>
      <c r="C2" s="329" t="s">
        <v>670</v>
      </c>
    </row>
    <row r="3" spans="1:8">
      <c r="A3" s="332">
        <v>43466</v>
      </c>
      <c r="B3" s="328">
        <v>34.074052999999999</v>
      </c>
      <c r="C3" s="328">
        <v>33.579579000000003</v>
      </c>
    </row>
    <row r="4" spans="1:8">
      <c r="A4" s="332">
        <v>43647</v>
      </c>
      <c r="B4" s="330">
        <v>34.074052999999999</v>
      </c>
      <c r="C4" s="328">
        <v>34.074052999999999</v>
      </c>
    </row>
    <row r="5" spans="1:8">
      <c r="A5" s="332">
        <v>43831</v>
      </c>
      <c r="B5" s="330">
        <v>34.915683245499999</v>
      </c>
      <c r="C5" s="328">
        <v>34.611263999999998</v>
      </c>
    </row>
    <row r="6" spans="1:8">
      <c r="A6" s="332">
        <v>44013</v>
      </c>
      <c r="B6" s="328">
        <v>34.915683245499999</v>
      </c>
      <c r="C6" s="328">
        <v>35.156533000000003</v>
      </c>
    </row>
    <row r="7" spans="1:8">
      <c r="A7" s="332">
        <v>44197</v>
      </c>
      <c r="B7" s="328"/>
      <c r="C7" s="328">
        <v>35.709980999999999</v>
      </c>
    </row>
    <row r="8" spans="1:8">
      <c r="A8" s="332">
        <v>44378</v>
      </c>
      <c r="B8" s="328"/>
      <c r="C8" s="328">
        <v>36.271731000000003</v>
      </c>
      <c r="H8" s="333"/>
    </row>
    <row r="9" spans="1:8">
      <c r="A9" s="332"/>
      <c r="B9" s="328"/>
      <c r="C9" s="328"/>
    </row>
    <row r="11" spans="1:8">
      <c r="A11" s="331" t="s">
        <v>671</v>
      </c>
    </row>
    <row r="12" spans="1:8">
      <c r="A12" s="329" t="s">
        <v>668</v>
      </c>
      <c r="B12" s="329" t="s">
        <v>669</v>
      </c>
      <c r="C12" s="329" t="s">
        <v>670</v>
      </c>
      <c r="D12" s="329" t="s">
        <v>672</v>
      </c>
    </row>
    <row r="13" spans="1:8">
      <c r="A13" s="266">
        <v>43654</v>
      </c>
      <c r="B13" s="328">
        <v>34.074052999999999</v>
      </c>
      <c r="C13" s="328">
        <f>C4</f>
        <v>34.074052999999999</v>
      </c>
      <c r="D13" s="328">
        <f>C13-B13</f>
        <v>0</v>
      </c>
      <c r="E13" t="s">
        <v>673</v>
      </c>
    </row>
    <row r="14" spans="1:8">
      <c r="A14" s="266">
        <v>43831</v>
      </c>
      <c r="B14" s="328">
        <v>34.915999999999997</v>
      </c>
      <c r="C14" s="328">
        <v>34.611263999999998</v>
      </c>
      <c r="D14" s="328">
        <f t="shared" ref="D14:D17" si="0">C14-B14</f>
        <v>-0.30473599999999834</v>
      </c>
    </row>
    <row r="15" spans="1:8">
      <c r="A15" s="266">
        <v>43980</v>
      </c>
      <c r="B15" s="328">
        <v>34.915999999999997</v>
      </c>
      <c r="C15" s="328">
        <v>34.611263999999998</v>
      </c>
      <c r="D15" s="328">
        <f t="shared" si="0"/>
        <v>-0.30473599999999834</v>
      </c>
    </row>
    <row r="16" spans="1:8">
      <c r="A16" s="266">
        <v>43998</v>
      </c>
      <c r="B16" s="328">
        <v>34.915999999999997</v>
      </c>
      <c r="C16" s="328">
        <v>34.611263999999998</v>
      </c>
      <c r="D16" s="328">
        <f t="shared" si="0"/>
        <v>-0.30473599999999834</v>
      </c>
    </row>
    <row r="17" spans="1:5">
      <c r="A17" s="266">
        <v>44013</v>
      </c>
      <c r="B17" s="328">
        <v>34.915999999999997</v>
      </c>
      <c r="C17" s="328">
        <v>35.156533000000003</v>
      </c>
      <c r="D17" s="328">
        <f t="shared" si="0"/>
        <v>0.24053300000000633</v>
      </c>
      <c r="E17" t="s">
        <v>674</v>
      </c>
    </row>
    <row r="18" spans="1:5">
      <c r="A18" s="266">
        <v>44197</v>
      </c>
      <c r="C18" s="328">
        <f>C7</f>
        <v>35.709980999999999</v>
      </c>
      <c r="D18" s="328"/>
      <c r="E18" t="s">
        <v>674</v>
      </c>
    </row>
    <row r="19" spans="1:5">
      <c r="D19" s="327"/>
    </row>
  </sheetData>
  <pageMargins left="0.7" right="0.7" top="0.75" bottom="0.75" header="0.3" footer="0.3"/>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185"/>
  <sheetViews>
    <sheetView topLeftCell="A147" workbookViewId="0">
      <selection activeCell="A147" sqref="A1:XFD1048576"/>
    </sheetView>
  </sheetViews>
  <sheetFormatPr defaultColWidth="10.42578125" defaultRowHeight="15"/>
  <cols>
    <col min="1" max="1" width="36.140625" style="173" customWidth="1"/>
    <col min="2" max="2" width="10.140625" style="173" customWidth="1"/>
    <col min="3" max="3" width="32.42578125" style="173" customWidth="1"/>
    <col min="4" max="4" width="5.5703125" style="173" customWidth="1"/>
    <col min="5" max="5" width="4.42578125" style="173" customWidth="1"/>
    <col min="6" max="6" width="5.42578125" style="174" customWidth="1"/>
    <col min="7" max="7" width="9.5703125" style="175" customWidth="1"/>
    <col min="8" max="8" width="10.42578125" style="176" customWidth="1"/>
    <col min="9" max="9" width="11.5703125" style="177" customWidth="1"/>
    <col min="10" max="10" width="8.42578125" style="178" customWidth="1"/>
    <col min="11" max="11" width="12.5703125" style="174" customWidth="1"/>
    <col min="12" max="12" width="6.5703125" style="173" customWidth="1"/>
    <col min="13" max="13" width="10.5703125" style="174" customWidth="1"/>
    <col min="14" max="14" width="12.140625" style="173" customWidth="1"/>
    <col min="15" max="15" width="10" style="175" customWidth="1"/>
    <col min="16" max="16" width="10.5703125" style="173" customWidth="1"/>
    <col min="17" max="16384" width="10.42578125" style="173"/>
  </cols>
  <sheetData>
    <row r="1" spans="1:16" ht="16.5" thickTop="1" thickBot="1">
      <c r="A1" s="172" t="s">
        <v>249</v>
      </c>
      <c r="B1" s="172" t="s">
        <v>7</v>
      </c>
      <c r="C1" s="172" t="s">
        <v>250</v>
      </c>
      <c r="D1" s="172" t="s">
        <v>251</v>
      </c>
      <c r="E1" s="172" t="s">
        <v>252</v>
      </c>
      <c r="F1" s="172" t="s">
        <v>253</v>
      </c>
      <c r="G1" s="172" t="s">
        <v>254</v>
      </c>
      <c r="H1" s="172" t="s">
        <v>255</v>
      </c>
      <c r="I1" s="172" t="s">
        <v>256</v>
      </c>
      <c r="J1" s="172" t="s">
        <v>257</v>
      </c>
      <c r="K1" s="172" t="s">
        <v>3</v>
      </c>
      <c r="L1" s="172" t="s">
        <v>258</v>
      </c>
      <c r="M1" s="172" t="s">
        <v>259</v>
      </c>
      <c r="N1" s="172" t="s">
        <v>260</v>
      </c>
      <c r="O1" s="172" t="s">
        <v>261</v>
      </c>
      <c r="P1" s="172" t="s">
        <v>262</v>
      </c>
    </row>
    <row r="2" spans="1:16" ht="15.75" thickTop="1">
      <c r="A2" s="173" t="s">
        <v>263</v>
      </c>
      <c r="B2" s="173" t="s">
        <v>21</v>
      </c>
      <c r="C2" s="173" t="s">
        <v>264</v>
      </c>
      <c r="D2" s="173" t="s">
        <v>265</v>
      </c>
      <c r="E2" s="173" t="s">
        <v>19</v>
      </c>
      <c r="F2" s="174">
        <v>1</v>
      </c>
      <c r="G2" s="175">
        <v>24.085999999999999</v>
      </c>
      <c r="H2" s="176">
        <v>50098.879999999997</v>
      </c>
      <c r="I2" s="177">
        <v>40</v>
      </c>
      <c r="J2" s="178">
        <v>43101</v>
      </c>
      <c r="K2" s="174">
        <v>5</v>
      </c>
      <c r="L2" s="173" t="s">
        <v>19</v>
      </c>
      <c r="M2" s="174">
        <v>228</v>
      </c>
      <c r="N2" s="173" t="s">
        <v>265</v>
      </c>
      <c r="O2" s="175">
        <v>26.431999999999999</v>
      </c>
    </row>
    <row r="3" spans="1:16">
      <c r="A3" s="173" t="s">
        <v>263</v>
      </c>
      <c r="B3" s="173" t="s">
        <v>21</v>
      </c>
      <c r="C3" s="173" t="s">
        <v>264</v>
      </c>
      <c r="D3" s="173" t="s">
        <v>265</v>
      </c>
      <c r="E3" s="173" t="s">
        <v>19</v>
      </c>
      <c r="F3" s="174">
        <v>2</v>
      </c>
      <c r="G3" s="175">
        <v>24.844999999999999</v>
      </c>
      <c r="H3" s="176">
        <v>51677.599999999999</v>
      </c>
      <c r="I3" s="177">
        <v>40</v>
      </c>
      <c r="J3" s="178">
        <v>43101</v>
      </c>
      <c r="K3" s="174">
        <v>5</v>
      </c>
      <c r="L3" s="173" t="s">
        <v>19</v>
      </c>
      <c r="M3" s="174">
        <v>228</v>
      </c>
      <c r="N3" s="173" t="s">
        <v>265</v>
      </c>
      <c r="O3" s="175">
        <v>26.431999999999999</v>
      </c>
    </row>
    <row r="4" spans="1:16">
      <c r="A4" s="173" t="s">
        <v>263</v>
      </c>
      <c r="B4" s="173" t="s">
        <v>21</v>
      </c>
      <c r="C4" s="173" t="s">
        <v>264</v>
      </c>
      <c r="D4" s="173" t="s">
        <v>265</v>
      </c>
      <c r="E4" s="173" t="s">
        <v>19</v>
      </c>
      <c r="F4" s="174">
        <v>3</v>
      </c>
      <c r="G4" s="175">
        <v>25.626999999999999</v>
      </c>
      <c r="H4" s="176">
        <v>53304.160000000003</v>
      </c>
      <c r="I4" s="177">
        <v>40</v>
      </c>
      <c r="J4" s="178">
        <v>43101</v>
      </c>
      <c r="K4" s="174">
        <v>5</v>
      </c>
      <c r="L4" s="173" t="s">
        <v>19</v>
      </c>
      <c r="M4" s="174">
        <v>228</v>
      </c>
      <c r="N4" s="173" t="s">
        <v>265</v>
      </c>
      <c r="O4" s="175">
        <v>26.431999999999999</v>
      </c>
    </row>
    <row r="5" spans="1:16">
      <c r="A5" s="173" t="s">
        <v>263</v>
      </c>
      <c r="B5" s="173" t="s">
        <v>21</v>
      </c>
      <c r="C5" s="173" t="s">
        <v>264</v>
      </c>
      <c r="D5" s="173" t="s">
        <v>265</v>
      </c>
      <c r="E5" s="173" t="s">
        <v>19</v>
      </c>
      <c r="F5" s="174">
        <v>4</v>
      </c>
      <c r="G5" s="175">
        <v>26.431999999999999</v>
      </c>
      <c r="H5" s="176">
        <v>54978.559999999998</v>
      </c>
      <c r="I5" s="177">
        <v>40</v>
      </c>
      <c r="J5" s="178">
        <v>43101</v>
      </c>
      <c r="K5" s="174">
        <v>5</v>
      </c>
      <c r="L5" s="173" t="s">
        <v>19</v>
      </c>
      <c r="M5" s="174">
        <v>228</v>
      </c>
      <c r="N5" s="173" t="s">
        <v>265</v>
      </c>
      <c r="O5" s="175">
        <v>26.431999999999999</v>
      </c>
    </row>
    <row r="6" spans="1:16">
      <c r="A6" s="173" t="s">
        <v>263</v>
      </c>
      <c r="B6" s="173" t="s">
        <v>21</v>
      </c>
      <c r="C6" s="173" t="s">
        <v>264</v>
      </c>
      <c r="D6" s="173" t="s">
        <v>265</v>
      </c>
      <c r="E6" s="173" t="s">
        <v>19</v>
      </c>
      <c r="F6" s="174">
        <v>11</v>
      </c>
      <c r="G6" s="175">
        <v>23.12</v>
      </c>
      <c r="H6" s="176">
        <v>48089.599999999999</v>
      </c>
      <c r="I6" s="177">
        <v>40</v>
      </c>
      <c r="J6" s="178">
        <v>43101</v>
      </c>
      <c r="K6" s="174">
        <v>5</v>
      </c>
      <c r="L6" s="173" t="s">
        <v>19</v>
      </c>
      <c r="M6" s="174">
        <v>228</v>
      </c>
      <c r="N6" s="173" t="s">
        <v>265</v>
      </c>
      <c r="O6" s="175">
        <v>26.431999999999999</v>
      </c>
    </row>
    <row r="7" spans="1:16">
      <c r="A7" s="173" t="s">
        <v>263</v>
      </c>
      <c r="B7" s="173" t="s">
        <v>25</v>
      </c>
      <c r="C7" s="173" t="s">
        <v>266</v>
      </c>
      <c r="D7" s="173" t="s">
        <v>265</v>
      </c>
      <c r="E7" s="173" t="s">
        <v>19</v>
      </c>
      <c r="F7" s="174">
        <v>1</v>
      </c>
      <c r="G7" s="175">
        <v>24.085999999999999</v>
      </c>
      <c r="H7" s="176">
        <v>50098.879999999997</v>
      </c>
      <c r="I7" s="177">
        <v>40</v>
      </c>
      <c r="J7" s="178">
        <v>43101</v>
      </c>
      <c r="K7" s="174">
        <v>5</v>
      </c>
      <c r="L7" s="173" t="s">
        <v>19</v>
      </c>
      <c r="M7" s="174">
        <v>228</v>
      </c>
      <c r="N7" s="173" t="s">
        <v>265</v>
      </c>
      <c r="O7" s="175">
        <v>26.431999999999999</v>
      </c>
    </row>
    <row r="8" spans="1:16">
      <c r="A8" s="173" t="s">
        <v>263</v>
      </c>
      <c r="B8" s="173" t="s">
        <v>25</v>
      </c>
      <c r="C8" s="173" t="s">
        <v>266</v>
      </c>
      <c r="D8" s="173" t="s">
        <v>265</v>
      </c>
      <c r="E8" s="173" t="s">
        <v>19</v>
      </c>
      <c r="F8" s="174">
        <v>2</v>
      </c>
      <c r="G8" s="175">
        <v>24.844999999999999</v>
      </c>
      <c r="H8" s="176">
        <v>51677.599999999999</v>
      </c>
      <c r="I8" s="177">
        <v>40</v>
      </c>
      <c r="J8" s="178">
        <v>43101</v>
      </c>
      <c r="K8" s="174">
        <v>5</v>
      </c>
      <c r="L8" s="173" t="s">
        <v>19</v>
      </c>
      <c r="M8" s="174">
        <v>228</v>
      </c>
      <c r="N8" s="173" t="s">
        <v>265</v>
      </c>
      <c r="O8" s="175">
        <v>26.431999999999999</v>
      </c>
    </row>
    <row r="9" spans="1:16">
      <c r="A9" s="173" t="s">
        <v>263</v>
      </c>
      <c r="B9" s="173" t="s">
        <v>25</v>
      </c>
      <c r="C9" s="173" t="s">
        <v>266</v>
      </c>
      <c r="D9" s="173" t="s">
        <v>265</v>
      </c>
      <c r="E9" s="173" t="s">
        <v>19</v>
      </c>
      <c r="F9" s="174">
        <v>3</v>
      </c>
      <c r="G9" s="175">
        <v>25.626999999999999</v>
      </c>
      <c r="H9" s="176">
        <v>53304.160000000003</v>
      </c>
      <c r="I9" s="177">
        <v>40</v>
      </c>
      <c r="J9" s="178">
        <v>43101</v>
      </c>
      <c r="K9" s="174">
        <v>5</v>
      </c>
      <c r="L9" s="173" t="s">
        <v>19</v>
      </c>
      <c r="M9" s="174">
        <v>228</v>
      </c>
      <c r="N9" s="173" t="s">
        <v>265</v>
      </c>
      <c r="O9" s="175">
        <v>26.431999999999999</v>
      </c>
    </row>
    <row r="10" spans="1:16">
      <c r="A10" s="173" t="s">
        <v>263</v>
      </c>
      <c r="B10" s="173" t="s">
        <v>25</v>
      </c>
      <c r="C10" s="173" t="s">
        <v>266</v>
      </c>
      <c r="D10" s="173" t="s">
        <v>265</v>
      </c>
      <c r="E10" s="173" t="s">
        <v>19</v>
      </c>
      <c r="F10" s="174">
        <v>4</v>
      </c>
      <c r="G10" s="175">
        <v>26.431999999999999</v>
      </c>
      <c r="H10" s="176">
        <v>54978.559999999998</v>
      </c>
      <c r="I10" s="177">
        <v>40</v>
      </c>
      <c r="J10" s="178">
        <v>43101</v>
      </c>
      <c r="K10" s="174">
        <v>5</v>
      </c>
      <c r="L10" s="173" t="s">
        <v>19</v>
      </c>
      <c r="M10" s="174">
        <v>228</v>
      </c>
      <c r="N10" s="173" t="s">
        <v>265</v>
      </c>
      <c r="O10" s="175">
        <v>26.431999999999999</v>
      </c>
    </row>
    <row r="11" spans="1:16">
      <c r="A11" s="173" t="s">
        <v>263</v>
      </c>
      <c r="B11" s="173" t="s">
        <v>25</v>
      </c>
      <c r="C11" s="173" t="s">
        <v>266</v>
      </c>
      <c r="D11" s="173" t="s">
        <v>265</v>
      </c>
      <c r="E11" s="173" t="s">
        <v>19</v>
      </c>
      <c r="F11" s="174">
        <v>11</v>
      </c>
      <c r="G11" s="175">
        <v>23.12</v>
      </c>
      <c r="H11" s="176">
        <v>48089.599999999999</v>
      </c>
      <c r="I11" s="177">
        <v>40</v>
      </c>
      <c r="J11" s="178">
        <v>43101</v>
      </c>
      <c r="K11" s="174">
        <v>5</v>
      </c>
      <c r="L11" s="173" t="s">
        <v>19</v>
      </c>
      <c r="M11" s="174">
        <v>228</v>
      </c>
      <c r="N11" s="173" t="s">
        <v>265</v>
      </c>
      <c r="O11" s="175">
        <v>26.431999999999999</v>
      </c>
    </row>
    <row r="12" spans="1:16">
      <c r="A12" s="173" t="s">
        <v>263</v>
      </c>
      <c r="B12" s="173" t="s">
        <v>45</v>
      </c>
      <c r="C12" s="173" t="s">
        <v>267</v>
      </c>
      <c r="D12" s="173" t="s">
        <v>265</v>
      </c>
      <c r="E12" s="173" t="s">
        <v>268</v>
      </c>
      <c r="F12" s="174">
        <v>1</v>
      </c>
      <c r="G12" s="175">
        <v>27.253</v>
      </c>
      <c r="H12" s="176">
        <v>56686.239999999998</v>
      </c>
      <c r="I12" s="177">
        <v>40</v>
      </c>
      <c r="J12" s="178">
        <v>43101</v>
      </c>
      <c r="K12" s="174">
        <v>5</v>
      </c>
      <c r="L12" s="173" t="s">
        <v>268</v>
      </c>
      <c r="M12" s="174">
        <v>228</v>
      </c>
      <c r="N12" s="173" t="s">
        <v>265</v>
      </c>
      <c r="O12" s="175">
        <v>27.253</v>
      </c>
    </row>
    <row r="13" spans="1:16">
      <c r="A13" s="173" t="s">
        <v>263</v>
      </c>
      <c r="B13" s="173" t="s">
        <v>45</v>
      </c>
      <c r="C13" s="173" t="s">
        <v>267</v>
      </c>
      <c r="D13" s="173" t="s">
        <v>265</v>
      </c>
      <c r="E13" s="173" t="s">
        <v>268</v>
      </c>
      <c r="F13" s="174">
        <v>11</v>
      </c>
      <c r="G13" s="175">
        <v>26.16</v>
      </c>
      <c r="H13" s="176">
        <v>54412.800000000003</v>
      </c>
      <c r="I13" s="177">
        <v>40</v>
      </c>
      <c r="J13" s="178">
        <v>43101</v>
      </c>
      <c r="K13" s="174">
        <v>5</v>
      </c>
      <c r="L13" s="173" t="s">
        <v>268</v>
      </c>
      <c r="M13" s="174">
        <v>228</v>
      </c>
      <c r="N13" s="173" t="s">
        <v>265</v>
      </c>
      <c r="O13" s="175">
        <v>27.253</v>
      </c>
    </row>
    <row r="14" spans="1:16">
      <c r="A14" s="173" t="s">
        <v>263</v>
      </c>
      <c r="B14" s="173" t="s">
        <v>48</v>
      </c>
      <c r="C14" s="173" t="s">
        <v>269</v>
      </c>
      <c r="D14" s="173" t="s">
        <v>265</v>
      </c>
      <c r="E14" s="173" t="s">
        <v>47</v>
      </c>
      <c r="F14" s="174">
        <v>1</v>
      </c>
      <c r="G14" s="175">
        <v>14.621</v>
      </c>
      <c r="H14" s="176">
        <v>30411.68</v>
      </c>
      <c r="I14" s="177">
        <v>40</v>
      </c>
      <c r="J14" s="178">
        <v>43101</v>
      </c>
      <c r="K14" s="174">
        <v>3</v>
      </c>
      <c r="L14" s="173" t="s">
        <v>47</v>
      </c>
      <c r="M14" s="174">
        <v>178</v>
      </c>
      <c r="N14" s="173" t="s">
        <v>265</v>
      </c>
      <c r="O14" s="175">
        <v>22.629000000000001</v>
      </c>
    </row>
    <row r="15" spans="1:16">
      <c r="A15" s="173" t="s">
        <v>263</v>
      </c>
      <c r="B15" s="173" t="s">
        <v>48</v>
      </c>
      <c r="C15" s="173" t="s">
        <v>269</v>
      </c>
      <c r="D15" s="173" t="s">
        <v>265</v>
      </c>
      <c r="E15" s="173" t="s">
        <v>47</v>
      </c>
      <c r="F15" s="174">
        <v>2</v>
      </c>
      <c r="G15" s="175">
        <v>17.018000000000001</v>
      </c>
      <c r="H15" s="176">
        <v>35397.440000000002</v>
      </c>
      <c r="I15" s="177">
        <v>40</v>
      </c>
      <c r="J15" s="178">
        <v>43101</v>
      </c>
      <c r="K15" s="174">
        <v>3</v>
      </c>
      <c r="L15" s="173" t="s">
        <v>47</v>
      </c>
      <c r="M15" s="174">
        <v>178</v>
      </c>
      <c r="N15" s="173" t="s">
        <v>265</v>
      </c>
      <c r="O15" s="175">
        <v>22.629000000000001</v>
      </c>
    </row>
    <row r="16" spans="1:16">
      <c r="A16" s="173" t="s">
        <v>263</v>
      </c>
      <c r="B16" s="173" t="s">
        <v>48</v>
      </c>
      <c r="C16" s="173" t="s">
        <v>269</v>
      </c>
      <c r="D16" s="173" t="s">
        <v>265</v>
      </c>
      <c r="E16" s="173" t="s">
        <v>47</v>
      </c>
      <c r="F16" s="174">
        <v>3</v>
      </c>
      <c r="G16" s="175">
        <v>17.998999999999999</v>
      </c>
      <c r="H16" s="176">
        <v>37437.919999999998</v>
      </c>
      <c r="I16" s="177">
        <v>40</v>
      </c>
      <c r="J16" s="178">
        <v>43101</v>
      </c>
      <c r="K16" s="174">
        <v>3</v>
      </c>
      <c r="L16" s="173" t="s">
        <v>47</v>
      </c>
      <c r="M16" s="174">
        <v>178</v>
      </c>
      <c r="N16" s="173" t="s">
        <v>265</v>
      </c>
      <c r="O16" s="175">
        <v>22.629000000000001</v>
      </c>
    </row>
    <row r="17" spans="1:15">
      <c r="A17" s="173" t="s">
        <v>263</v>
      </c>
      <c r="B17" s="173" t="s">
        <v>48</v>
      </c>
      <c r="C17" s="173" t="s">
        <v>269</v>
      </c>
      <c r="D17" s="173" t="s">
        <v>265</v>
      </c>
      <c r="E17" s="173" t="s">
        <v>47</v>
      </c>
      <c r="F17" s="174">
        <v>4</v>
      </c>
      <c r="G17" s="175">
        <v>22.629000000000001</v>
      </c>
      <c r="H17" s="176">
        <v>47068.32</v>
      </c>
      <c r="I17" s="177">
        <v>40</v>
      </c>
      <c r="J17" s="178">
        <v>43101</v>
      </c>
      <c r="K17" s="174">
        <v>3</v>
      </c>
      <c r="L17" s="173" t="s">
        <v>47</v>
      </c>
      <c r="M17" s="174">
        <v>178</v>
      </c>
      <c r="N17" s="173" t="s">
        <v>265</v>
      </c>
      <c r="O17" s="175">
        <v>22.629000000000001</v>
      </c>
    </row>
    <row r="18" spans="1:15">
      <c r="A18" s="173" t="s">
        <v>263</v>
      </c>
      <c r="B18" s="173" t="s">
        <v>48</v>
      </c>
      <c r="C18" s="173" t="s">
        <v>269</v>
      </c>
      <c r="D18" s="173" t="s">
        <v>265</v>
      </c>
      <c r="E18" s="173" t="s">
        <v>47</v>
      </c>
      <c r="F18" s="174">
        <v>11</v>
      </c>
      <c r="G18" s="175">
        <v>14.034000000000001</v>
      </c>
      <c r="H18" s="176">
        <v>29190.720000000001</v>
      </c>
      <c r="I18" s="177">
        <v>40</v>
      </c>
      <c r="J18" s="178">
        <v>43101</v>
      </c>
      <c r="K18" s="174">
        <v>3</v>
      </c>
      <c r="L18" s="173" t="s">
        <v>47</v>
      </c>
      <c r="M18" s="174">
        <v>178</v>
      </c>
      <c r="N18" s="173" t="s">
        <v>265</v>
      </c>
      <c r="O18" s="175">
        <v>22.629000000000001</v>
      </c>
    </row>
    <row r="19" spans="1:15">
      <c r="A19" s="173" t="s">
        <v>263</v>
      </c>
      <c r="B19" s="173" t="s">
        <v>35</v>
      </c>
      <c r="C19" s="173" t="s">
        <v>270</v>
      </c>
      <c r="D19" s="173" t="s">
        <v>265</v>
      </c>
      <c r="E19" s="173" t="s">
        <v>19</v>
      </c>
      <c r="F19" s="174">
        <v>1</v>
      </c>
      <c r="G19" s="175">
        <v>24.085999999999999</v>
      </c>
      <c r="H19" s="176">
        <v>50098.879999999997</v>
      </c>
      <c r="I19" s="177">
        <v>40</v>
      </c>
      <c r="J19" s="178">
        <v>43101</v>
      </c>
      <c r="K19" s="174">
        <v>6</v>
      </c>
      <c r="L19" s="173" t="s">
        <v>19</v>
      </c>
      <c r="M19" s="174">
        <v>280</v>
      </c>
      <c r="N19" s="173" t="s">
        <v>265</v>
      </c>
      <c r="O19" s="175">
        <v>26.431999999999999</v>
      </c>
    </row>
    <row r="20" spans="1:15">
      <c r="A20" s="173" t="s">
        <v>263</v>
      </c>
      <c r="B20" s="173" t="s">
        <v>35</v>
      </c>
      <c r="C20" s="173" t="s">
        <v>270</v>
      </c>
      <c r="D20" s="173" t="s">
        <v>265</v>
      </c>
      <c r="E20" s="173" t="s">
        <v>19</v>
      </c>
      <c r="F20" s="174">
        <v>2</v>
      </c>
      <c r="G20" s="175">
        <v>24.844999999999999</v>
      </c>
      <c r="H20" s="176">
        <v>51677.599999999999</v>
      </c>
      <c r="I20" s="177">
        <v>40</v>
      </c>
      <c r="J20" s="178">
        <v>43101</v>
      </c>
      <c r="K20" s="174">
        <v>6</v>
      </c>
      <c r="L20" s="173" t="s">
        <v>19</v>
      </c>
      <c r="M20" s="174">
        <v>280</v>
      </c>
      <c r="N20" s="173" t="s">
        <v>265</v>
      </c>
      <c r="O20" s="175">
        <v>26.431999999999999</v>
      </c>
    </row>
    <row r="21" spans="1:15">
      <c r="A21" s="173" t="s">
        <v>263</v>
      </c>
      <c r="B21" s="173" t="s">
        <v>35</v>
      </c>
      <c r="C21" s="173" t="s">
        <v>270</v>
      </c>
      <c r="D21" s="173" t="s">
        <v>265</v>
      </c>
      <c r="E21" s="173" t="s">
        <v>19</v>
      </c>
      <c r="F21" s="174">
        <v>3</v>
      </c>
      <c r="G21" s="175">
        <v>25.626999999999999</v>
      </c>
      <c r="H21" s="176">
        <v>53304.160000000003</v>
      </c>
      <c r="I21" s="177">
        <v>40</v>
      </c>
      <c r="J21" s="178">
        <v>43101</v>
      </c>
      <c r="K21" s="174">
        <v>6</v>
      </c>
      <c r="L21" s="173" t="s">
        <v>19</v>
      </c>
      <c r="M21" s="174">
        <v>280</v>
      </c>
      <c r="N21" s="173" t="s">
        <v>265</v>
      </c>
      <c r="O21" s="175">
        <v>26.431999999999999</v>
      </c>
    </row>
    <row r="22" spans="1:15">
      <c r="A22" s="173" t="s">
        <v>263</v>
      </c>
      <c r="B22" s="173" t="s">
        <v>35</v>
      </c>
      <c r="C22" s="173" t="s">
        <v>270</v>
      </c>
      <c r="D22" s="173" t="s">
        <v>265</v>
      </c>
      <c r="E22" s="173" t="s">
        <v>19</v>
      </c>
      <c r="F22" s="174">
        <v>4</v>
      </c>
      <c r="G22" s="175">
        <v>26.431999999999999</v>
      </c>
      <c r="H22" s="176">
        <v>54978.559999999998</v>
      </c>
      <c r="I22" s="177">
        <v>40</v>
      </c>
      <c r="J22" s="178">
        <v>43101</v>
      </c>
      <c r="K22" s="174">
        <v>6</v>
      </c>
      <c r="L22" s="173" t="s">
        <v>19</v>
      </c>
      <c r="M22" s="174">
        <v>280</v>
      </c>
      <c r="N22" s="173" t="s">
        <v>265</v>
      </c>
      <c r="O22" s="175">
        <v>26.431999999999999</v>
      </c>
    </row>
    <row r="23" spans="1:15">
      <c r="A23" s="173" t="s">
        <v>263</v>
      </c>
      <c r="B23" s="173" t="s">
        <v>35</v>
      </c>
      <c r="C23" s="173" t="s">
        <v>270</v>
      </c>
      <c r="D23" s="173" t="s">
        <v>265</v>
      </c>
      <c r="E23" s="173" t="s">
        <v>19</v>
      </c>
      <c r="F23" s="174">
        <v>11</v>
      </c>
      <c r="G23" s="175">
        <v>23.12</v>
      </c>
      <c r="H23" s="176">
        <v>48089.599999999999</v>
      </c>
      <c r="I23" s="177">
        <v>40</v>
      </c>
      <c r="J23" s="178">
        <v>43101</v>
      </c>
      <c r="K23" s="174">
        <v>6</v>
      </c>
      <c r="L23" s="173" t="s">
        <v>19</v>
      </c>
      <c r="M23" s="174">
        <v>280</v>
      </c>
      <c r="N23" s="173" t="s">
        <v>265</v>
      </c>
      <c r="O23" s="175">
        <v>26.431999999999999</v>
      </c>
    </row>
    <row r="24" spans="1:15">
      <c r="A24" s="173" t="s">
        <v>263</v>
      </c>
      <c r="B24" s="173" t="s">
        <v>39</v>
      </c>
      <c r="C24" s="173" t="s">
        <v>271</v>
      </c>
      <c r="D24" s="173" t="s">
        <v>265</v>
      </c>
      <c r="E24" s="173" t="s">
        <v>19</v>
      </c>
      <c r="F24" s="174">
        <v>1</v>
      </c>
      <c r="G24" s="175">
        <v>24.085999999999999</v>
      </c>
      <c r="H24" s="176">
        <v>50098.879999999997</v>
      </c>
      <c r="I24" s="177">
        <v>40</v>
      </c>
      <c r="J24" s="178">
        <v>43101</v>
      </c>
      <c r="K24" s="174">
        <v>6</v>
      </c>
      <c r="L24" s="173" t="s">
        <v>19</v>
      </c>
      <c r="M24" s="174">
        <v>280</v>
      </c>
      <c r="N24" s="173" t="s">
        <v>265</v>
      </c>
      <c r="O24" s="175">
        <v>26.431999999999999</v>
      </c>
    </row>
    <row r="25" spans="1:15">
      <c r="A25" s="173" t="s">
        <v>263</v>
      </c>
      <c r="B25" s="173" t="s">
        <v>39</v>
      </c>
      <c r="C25" s="173" t="s">
        <v>271</v>
      </c>
      <c r="D25" s="173" t="s">
        <v>265</v>
      </c>
      <c r="E25" s="173" t="s">
        <v>19</v>
      </c>
      <c r="F25" s="174">
        <v>2</v>
      </c>
      <c r="G25" s="175">
        <v>24.844999999999999</v>
      </c>
      <c r="H25" s="176">
        <v>51677.599999999999</v>
      </c>
      <c r="I25" s="177">
        <v>40</v>
      </c>
      <c r="J25" s="178">
        <v>43101</v>
      </c>
      <c r="K25" s="174">
        <v>6</v>
      </c>
      <c r="L25" s="173" t="s">
        <v>19</v>
      </c>
      <c r="M25" s="174">
        <v>280</v>
      </c>
      <c r="N25" s="173" t="s">
        <v>265</v>
      </c>
      <c r="O25" s="175">
        <v>26.431999999999999</v>
      </c>
    </row>
    <row r="26" spans="1:15">
      <c r="A26" s="173" t="s">
        <v>263</v>
      </c>
      <c r="B26" s="173" t="s">
        <v>39</v>
      </c>
      <c r="C26" s="173" t="s">
        <v>271</v>
      </c>
      <c r="D26" s="173" t="s">
        <v>265</v>
      </c>
      <c r="E26" s="173" t="s">
        <v>19</v>
      </c>
      <c r="F26" s="174">
        <v>3</v>
      </c>
      <c r="G26" s="175">
        <v>25.626999999999999</v>
      </c>
      <c r="H26" s="176">
        <v>53304.160000000003</v>
      </c>
      <c r="I26" s="177">
        <v>40</v>
      </c>
      <c r="J26" s="178">
        <v>43101</v>
      </c>
      <c r="K26" s="174">
        <v>6</v>
      </c>
      <c r="L26" s="173" t="s">
        <v>19</v>
      </c>
      <c r="M26" s="174">
        <v>280</v>
      </c>
      <c r="N26" s="173" t="s">
        <v>265</v>
      </c>
      <c r="O26" s="175">
        <v>26.431999999999999</v>
      </c>
    </row>
    <row r="27" spans="1:15">
      <c r="A27" s="173" t="s">
        <v>263</v>
      </c>
      <c r="B27" s="173" t="s">
        <v>39</v>
      </c>
      <c r="C27" s="173" t="s">
        <v>271</v>
      </c>
      <c r="D27" s="173" t="s">
        <v>265</v>
      </c>
      <c r="E27" s="173" t="s">
        <v>19</v>
      </c>
      <c r="F27" s="174">
        <v>4</v>
      </c>
      <c r="G27" s="175">
        <v>26.431999999999999</v>
      </c>
      <c r="H27" s="176">
        <v>54978.559999999998</v>
      </c>
      <c r="I27" s="177">
        <v>40</v>
      </c>
      <c r="J27" s="178">
        <v>43101</v>
      </c>
      <c r="K27" s="174">
        <v>6</v>
      </c>
      <c r="L27" s="173" t="s">
        <v>19</v>
      </c>
      <c r="M27" s="174">
        <v>280</v>
      </c>
      <c r="N27" s="173" t="s">
        <v>265</v>
      </c>
      <c r="O27" s="175">
        <v>26.431999999999999</v>
      </c>
    </row>
    <row r="28" spans="1:15">
      <c r="A28" s="173" t="s">
        <v>263</v>
      </c>
      <c r="B28" s="173" t="s">
        <v>39</v>
      </c>
      <c r="C28" s="173" t="s">
        <v>271</v>
      </c>
      <c r="D28" s="173" t="s">
        <v>265</v>
      </c>
      <c r="E28" s="173" t="s">
        <v>19</v>
      </c>
      <c r="F28" s="174">
        <v>11</v>
      </c>
      <c r="G28" s="175">
        <v>23.12</v>
      </c>
      <c r="H28" s="176">
        <v>48089.599999999999</v>
      </c>
      <c r="I28" s="177">
        <v>40</v>
      </c>
      <c r="J28" s="178">
        <v>43101</v>
      </c>
      <c r="K28" s="174">
        <v>6</v>
      </c>
      <c r="L28" s="173" t="s">
        <v>19</v>
      </c>
      <c r="M28" s="174">
        <v>280</v>
      </c>
      <c r="N28" s="173" t="s">
        <v>265</v>
      </c>
      <c r="O28" s="175">
        <v>26.431999999999999</v>
      </c>
    </row>
    <row r="29" spans="1:15">
      <c r="A29" s="173" t="s">
        <v>263</v>
      </c>
      <c r="B29" s="173" t="s">
        <v>42</v>
      </c>
      <c r="C29" s="173" t="s">
        <v>272</v>
      </c>
      <c r="D29" s="173" t="s">
        <v>265</v>
      </c>
      <c r="E29" s="173" t="s">
        <v>19</v>
      </c>
      <c r="F29" s="174">
        <v>1</v>
      </c>
      <c r="G29" s="175">
        <v>24.085999999999999</v>
      </c>
      <c r="H29" s="176">
        <v>50098.879999999997</v>
      </c>
      <c r="I29" s="177">
        <v>40</v>
      </c>
      <c r="J29" s="178">
        <v>43101</v>
      </c>
      <c r="K29" s="174">
        <v>6</v>
      </c>
      <c r="L29" s="173" t="s">
        <v>19</v>
      </c>
      <c r="M29" s="174">
        <v>280</v>
      </c>
      <c r="N29" s="173" t="s">
        <v>265</v>
      </c>
      <c r="O29" s="175">
        <v>26.431999999999999</v>
      </c>
    </row>
    <row r="30" spans="1:15">
      <c r="A30" s="173" t="s">
        <v>263</v>
      </c>
      <c r="B30" s="173" t="s">
        <v>42</v>
      </c>
      <c r="C30" s="173" t="s">
        <v>272</v>
      </c>
      <c r="D30" s="173" t="s">
        <v>265</v>
      </c>
      <c r="E30" s="173" t="s">
        <v>19</v>
      </c>
      <c r="F30" s="174">
        <v>2</v>
      </c>
      <c r="G30" s="175">
        <v>24.844999999999999</v>
      </c>
      <c r="H30" s="176">
        <v>51677.599999999999</v>
      </c>
      <c r="I30" s="177">
        <v>40</v>
      </c>
      <c r="J30" s="178">
        <v>43101</v>
      </c>
      <c r="K30" s="174">
        <v>6</v>
      </c>
      <c r="L30" s="173" t="s">
        <v>19</v>
      </c>
      <c r="M30" s="174">
        <v>280</v>
      </c>
      <c r="N30" s="173" t="s">
        <v>265</v>
      </c>
      <c r="O30" s="175">
        <v>26.431999999999999</v>
      </c>
    </row>
    <row r="31" spans="1:15">
      <c r="A31" s="173" t="s">
        <v>263</v>
      </c>
      <c r="B31" s="173" t="s">
        <v>42</v>
      </c>
      <c r="C31" s="173" t="s">
        <v>272</v>
      </c>
      <c r="D31" s="173" t="s">
        <v>265</v>
      </c>
      <c r="E31" s="173" t="s">
        <v>19</v>
      </c>
      <c r="F31" s="174">
        <v>3</v>
      </c>
      <c r="G31" s="175">
        <v>25.626999999999999</v>
      </c>
      <c r="H31" s="176">
        <v>53304.160000000003</v>
      </c>
      <c r="I31" s="177">
        <v>40</v>
      </c>
      <c r="J31" s="178">
        <v>43101</v>
      </c>
      <c r="K31" s="174">
        <v>6</v>
      </c>
      <c r="L31" s="173" t="s">
        <v>19</v>
      </c>
      <c r="M31" s="174">
        <v>280</v>
      </c>
      <c r="N31" s="173" t="s">
        <v>265</v>
      </c>
      <c r="O31" s="175">
        <v>26.431999999999999</v>
      </c>
    </row>
    <row r="32" spans="1:15">
      <c r="A32" s="173" t="s">
        <v>263</v>
      </c>
      <c r="B32" s="173" t="s">
        <v>42</v>
      </c>
      <c r="C32" s="173" t="s">
        <v>272</v>
      </c>
      <c r="D32" s="173" t="s">
        <v>265</v>
      </c>
      <c r="E32" s="173" t="s">
        <v>19</v>
      </c>
      <c r="F32" s="174">
        <v>4</v>
      </c>
      <c r="G32" s="175">
        <v>26.431999999999999</v>
      </c>
      <c r="H32" s="176">
        <v>54978.559999999998</v>
      </c>
      <c r="I32" s="177">
        <v>40</v>
      </c>
      <c r="J32" s="178">
        <v>43101</v>
      </c>
      <c r="K32" s="174">
        <v>6</v>
      </c>
      <c r="L32" s="173" t="s">
        <v>19</v>
      </c>
      <c r="M32" s="174">
        <v>280</v>
      </c>
      <c r="N32" s="173" t="s">
        <v>265</v>
      </c>
      <c r="O32" s="175">
        <v>26.431999999999999</v>
      </c>
    </row>
    <row r="33" spans="1:15">
      <c r="A33" s="173" t="s">
        <v>263</v>
      </c>
      <c r="B33" s="173" t="s">
        <v>42</v>
      </c>
      <c r="C33" s="173" t="s">
        <v>272</v>
      </c>
      <c r="D33" s="173" t="s">
        <v>265</v>
      </c>
      <c r="E33" s="173" t="s">
        <v>19</v>
      </c>
      <c r="F33" s="174">
        <v>11</v>
      </c>
      <c r="G33" s="175">
        <v>23.12</v>
      </c>
      <c r="H33" s="176">
        <v>48089.599999999999</v>
      </c>
      <c r="I33" s="177">
        <v>40</v>
      </c>
      <c r="J33" s="178">
        <v>43101</v>
      </c>
      <c r="K33" s="174">
        <v>6</v>
      </c>
      <c r="L33" s="173" t="s">
        <v>19</v>
      </c>
      <c r="M33" s="174">
        <v>280</v>
      </c>
      <c r="N33" s="173" t="s">
        <v>265</v>
      </c>
      <c r="O33" s="175">
        <v>26.431999999999999</v>
      </c>
    </row>
    <row r="34" spans="1:15">
      <c r="A34" s="173" t="s">
        <v>263</v>
      </c>
      <c r="B34" s="173" t="s">
        <v>31</v>
      </c>
      <c r="C34" s="173" t="s">
        <v>273</v>
      </c>
      <c r="D34" s="173" t="s">
        <v>265</v>
      </c>
      <c r="E34" s="173" t="s">
        <v>19</v>
      </c>
      <c r="F34" s="174">
        <v>1</v>
      </c>
      <c r="G34" s="175">
        <v>24.085999999999999</v>
      </c>
      <c r="H34" s="176">
        <v>50098.879999999997</v>
      </c>
      <c r="I34" s="177">
        <v>40</v>
      </c>
      <c r="J34" s="178">
        <v>43101</v>
      </c>
      <c r="K34" s="174">
        <v>6</v>
      </c>
      <c r="L34" s="173" t="s">
        <v>19</v>
      </c>
      <c r="M34" s="174">
        <v>280</v>
      </c>
      <c r="N34" s="173" t="s">
        <v>265</v>
      </c>
      <c r="O34" s="175">
        <v>26.431999999999999</v>
      </c>
    </row>
    <row r="35" spans="1:15">
      <c r="A35" s="173" t="s">
        <v>263</v>
      </c>
      <c r="B35" s="173" t="s">
        <v>31</v>
      </c>
      <c r="C35" s="173" t="s">
        <v>273</v>
      </c>
      <c r="D35" s="173" t="s">
        <v>265</v>
      </c>
      <c r="E35" s="173" t="s">
        <v>19</v>
      </c>
      <c r="F35" s="174">
        <v>2</v>
      </c>
      <c r="G35" s="175">
        <v>24.844999999999999</v>
      </c>
      <c r="H35" s="176">
        <v>51677.599999999999</v>
      </c>
      <c r="I35" s="177">
        <v>40</v>
      </c>
      <c r="J35" s="178">
        <v>43101</v>
      </c>
      <c r="K35" s="174">
        <v>6</v>
      </c>
      <c r="L35" s="173" t="s">
        <v>19</v>
      </c>
      <c r="M35" s="174">
        <v>280</v>
      </c>
      <c r="N35" s="173" t="s">
        <v>265</v>
      </c>
      <c r="O35" s="175">
        <v>26.431999999999999</v>
      </c>
    </row>
    <row r="36" spans="1:15">
      <c r="A36" s="173" t="s">
        <v>263</v>
      </c>
      <c r="B36" s="173" t="s">
        <v>31</v>
      </c>
      <c r="C36" s="173" t="s">
        <v>273</v>
      </c>
      <c r="D36" s="173" t="s">
        <v>265</v>
      </c>
      <c r="E36" s="173" t="s">
        <v>19</v>
      </c>
      <c r="F36" s="174">
        <v>3</v>
      </c>
      <c r="G36" s="175">
        <v>25.626999999999999</v>
      </c>
      <c r="H36" s="176">
        <v>53304.160000000003</v>
      </c>
      <c r="I36" s="177">
        <v>40</v>
      </c>
      <c r="J36" s="178">
        <v>43101</v>
      </c>
      <c r="K36" s="174">
        <v>6</v>
      </c>
      <c r="L36" s="173" t="s">
        <v>19</v>
      </c>
      <c r="M36" s="174">
        <v>280</v>
      </c>
      <c r="N36" s="173" t="s">
        <v>265</v>
      </c>
      <c r="O36" s="175">
        <v>26.431999999999999</v>
      </c>
    </row>
    <row r="37" spans="1:15">
      <c r="A37" s="173" t="s">
        <v>263</v>
      </c>
      <c r="B37" s="173" t="s">
        <v>31</v>
      </c>
      <c r="C37" s="173" t="s">
        <v>273</v>
      </c>
      <c r="D37" s="173" t="s">
        <v>265</v>
      </c>
      <c r="E37" s="173" t="s">
        <v>19</v>
      </c>
      <c r="F37" s="174">
        <v>4</v>
      </c>
      <c r="G37" s="175">
        <v>26.431999999999999</v>
      </c>
      <c r="H37" s="176">
        <v>54978.559999999998</v>
      </c>
      <c r="I37" s="177">
        <v>40</v>
      </c>
      <c r="J37" s="178">
        <v>43101</v>
      </c>
      <c r="K37" s="174">
        <v>6</v>
      </c>
      <c r="L37" s="173" t="s">
        <v>19</v>
      </c>
      <c r="M37" s="174">
        <v>280</v>
      </c>
      <c r="N37" s="173" t="s">
        <v>265</v>
      </c>
      <c r="O37" s="175">
        <v>26.431999999999999</v>
      </c>
    </row>
    <row r="38" spans="1:15">
      <c r="A38" s="173" t="s">
        <v>263</v>
      </c>
      <c r="B38" s="173" t="s">
        <v>31</v>
      </c>
      <c r="C38" s="173" t="s">
        <v>273</v>
      </c>
      <c r="D38" s="173" t="s">
        <v>265</v>
      </c>
      <c r="E38" s="173" t="s">
        <v>19</v>
      </c>
      <c r="F38" s="174">
        <v>11</v>
      </c>
      <c r="G38" s="175">
        <v>23.12</v>
      </c>
      <c r="H38" s="176">
        <v>48089.599999999999</v>
      </c>
      <c r="I38" s="177">
        <v>40</v>
      </c>
      <c r="J38" s="178">
        <v>43101</v>
      </c>
      <c r="K38" s="174">
        <v>6</v>
      </c>
      <c r="L38" s="173" t="s">
        <v>19</v>
      </c>
      <c r="M38" s="174">
        <v>280</v>
      </c>
      <c r="N38" s="173" t="s">
        <v>265</v>
      </c>
      <c r="O38" s="175">
        <v>26.431999999999999</v>
      </c>
    </row>
    <row r="39" spans="1:15">
      <c r="A39" s="173" t="s">
        <v>263</v>
      </c>
      <c r="B39" s="173" t="s">
        <v>50</v>
      </c>
      <c r="C39" s="173" t="s">
        <v>274</v>
      </c>
      <c r="D39" s="173" t="s">
        <v>265</v>
      </c>
      <c r="E39" s="173" t="s">
        <v>275</v>
      </c>
      <c r="F39" s="174">
        <v>1</v>
      </c>
      <c r="G39" s="175">
        <v>30.11</v>
      </c>
      <c r="H39" s="176">
        <v>62628.800000000003</v>
      </c>
      <c r="I39" s="177">
        <v>40</v>
      </c>
      <c r="J39" s="178">
        <v>43101</v>
      </c>
      <c r="K39" s="174">
        <v>6</v>
      </c>
      <c r="L39" s="173" t="s">
        <v>275</v>
      </c>
      <c r="M39" s="174">
        <v>280</v>
      </c>
      <c r="N39" s="173" t="s">
        <v>265</v>
      </c>
      <c r="O39" s="175">
        <v>30.11</v>
      </c>
    </row>
    <row r="40" spans="1:15">
      <c r="A40" s="173" t="s">
        <v>263</v>
      </c>
      <c r="B40" s="173" t="s">
        <v>50</v>
      </c>
      <c r="C40" s="173" t="s">
        <v>274</v>
      </c>
      <c r="D40" s="173" t="s">
        <v>265</v>
      </c>
      <c r="E40" s="173" t="s">
        <v>275</v>
      </c>
      <c r="F40" s="174">
        <v>11</v>
      </c>
      <c r="G40" s="175">
        <v>28.902000000000001</v>
      </c>
      <c r="H40" s="176">
        <v>60116.160000000003</v>
      </c>
      <c r="I40" s="177">
        <v>40</v>
      </c>
      <c r="J40" s="178">
        <v>43101</v>
      </c>
      <c r="K40" s="174">
        <v>6</v>
      </c>
      <c r="L40" s="173" t="s">
        <v>275</v>
      </c>
      <c r="M40" s="174">
        <v>280</v>
      </c>
      <c r="N40" s="173" t="s">
        <v>265</v>
      </c>
      <c r="O40" s="175">
        <v>30.11</v>
      </c>
    </row>
    <row r="41" spans="1:15">
      <c r="A41" s="173" t="s">
        <v>263</v>
      </c>
      <c r="B41" s="173" t="s">
        <v>53</v>
      </c>
      <c r="C41" s="173" t="s">
        <v>54</v>
      </c>
      <c r="D41" s="173" t="s">
        <v>265</v>
      </c>
      <c r="E41" s="173" t="s">
        <v>52</v>
      </c>
      <c r="F41" s="174">
        <v>1</v>
      </c>
      <c r="G41" s="175">
        <v>17.625</v>
      </c>
      <c r="H41" s="176">
        <v>36660</v>
      </c>
      <c r="I41" s="177">
        <v>40</v>
      </c>
      <c r="J41" s="178">
        <v>43101</v>
      </c>
      <c r="K41" s="174">
        <v>4</v>
      </c>
      <c r="L41" s="173" t="s">
        <v>52</v>
      </c>
      <c r="M41" s="174">
        <v>188</v>
      </c>
      <c r="N41" s="173" t="s">
        <v>265</v>
      </c>
      <c r="O41" s="175">
        <v>24.491</v>
      </c>
    </row>
    <row r="42" spans="1:15">
      <c r="A42" s="173" t="s">
        <v>263</v>
      </c>
      <c r="B42" s="173" t="s">
        <v>53</v>
      </c>
      <c r="C42" s="173" t="s">
        <v>54</v>
      </c>
      <c r="D42" s="173" t="s">
        <v>265</v>
      </c>
      <c r="E42" s="173" t="s">
        <v>52</v>
      </c>
      <c r="F42" s="174">
        <v>2</v>
      </c>
      <c r="G42" s="175">
        <v>20.23</v>
      </c>
      <c r="H42" s="176">
        <v>42078.400000000001</v>
      </c>
      <c r="I42" s="177">
        <v>40</v>
      </c>
      <c r="J42" s="178">
        <v>43101</v>
      </c>
      <c r="K42" s="174">
        <v>4</v>
      </c>
      <c r="L42" s="173" t="s">
        <v>52</v>
      </c>
      <c r="M42" s="174">
        <v>188</v>
      </c>
      <c r="N42" s="173" t="s">
        <v>265</v>
      </c>
      <c r="O42" s="175">
        <v>24.491</v>
      </c>
    </row>
    <row r="43" spans="1:15">
      <c r="A43" s="173" t="s">
        <v>263</v>
      </c>
      <c r="B43" s="173" t="s">
        <v>53</v>
      </c>
      <c r="C43" s="173" t="s">
        <v>54</v>
      </c>
      <c r="D43" s="173" t="s">
        <v>265</v>
      </c>
      <c r="E43" s="173" t="s">
        <v>52</v>
      </c>
      <c r="F43" s="174">
        <v>3</v>
      </c>
      <c r="G43" s="175">
        <v>24.491</v>
      </c>
      <c r="H43" s="176">
        <v>50941.279999999999</v>
      </c>
      <c r="I43" s="177">
        <v>40</v>
      </c>
      <c r="J43" s="178">
        <v>43101</v>
      </c>
      <c r="K43" s="174">
        <v>4</v>
      </c>
      <c r="L43" s="173" t="s">
        <v>52</v>
      </c>
      <c r="M43" s="174">
        <v>188</v>
      </c>
      <c r="N43" s="173" t="s">
        <v>265</v>
      </c>
      <c r="O43" s="175">
        <v>24.491</v>
      </c>
    </row>
    <row r="44" spans="1:15">
      <c r="A44" s="173" t="s">
        <v>263</v>
      </c>
      <c r="B44" s="173" t="s">
        <v>53</v>
      </c>
      <c r="C44" s="173" t="s">
        <v>54</v>
      </c>
      <c r="D44" s="173" t="s">
        <v>265</v>
      </c>
      <c r="E44" s="173" t="s">
        <v>52</v>
      </c>
      <c r="F44" s="174">
        <v>11</v>
      </c>
      <c r="G44" s="175">
        <v>16.917999999999999</v>
      </c>
      <c r="H44" s="176">
        <v>35189.440000000002</v>
      </c>
      <c r="I44" s="177">
        <v>40</v>
      </c>
      <c r="J44" s="178">
        <v>43101</v>
      </c>
      <c r="K44" s="174">
        <v>4</v>
      </c>
      <c r="L44" s="173" t="s">
        <v>52</v>
      </c>
      <c r="M44" s="174">
        <v>188</v>
      </c>
      <c r="N44" s="173" t="s">
        <v>265</v>
      </c>
      <c r="O44" s="175">
        <v>24.491</v>
      </c>
    </row>
    <row r="45" spans="1:15">
      <c r="A45" s="173" t="s">
        <v>263</v>
      </c>
      <c r="B45" s="173" t="s">
        <v>56</v>
      </c>
      <c r="C45" s="173" t="s">
        <v>276</v>
      </c>
      <c r="D45" s="173" t="s">
        <v>265</v>
      </c>
      <c r="E45" s="173" t="s">
        <v>52</v>
      </c>
      <c r="F45" s="174">
        <v>1</v>
      </c>
      <c r="G45" s="175">
        <v>17.625</v>
      </c>
      <c r="H45" s="176">
        <v>36660</v>
      </c>
      <c r="I45" s="177">
        <v>40</v>
      </c>
      <c r="J45" s="178">
        <v>43101</v>
      </c>
      <c r="K45" s="174">
        <v>4</v>
      </c>
      <c r="L45" s="173" t="s">
        <v>52</v>
      </c>
      <c r="M45" s="174">
        <v>188</v>
      </c>
      <c r="N45" s="173" t="s">
        <v>265</v>
      </c>
      <c r="O45" s="175">
        <v>24.491</v>
      </c>
    </row>
    <row r="46" spans="1:15">
      <c r="A46" s="173" t="s">
        <v>263</v>
      </c>
      <c r="B46" s="173" t="s">
        <v>56</v>
      </c>
      <c r="C46" s="173" t="s">
        <v>276</v>
      </c>
      <c r="D46" s="173" t="s">
        <v>265</v>
      </c>
      <c r="E46" s="173" t="s">
        <v>52</v>
      </c>
      <c r="F46" s="174">
        <v>2</v>
      </c>
      <c r="G46" s="175">
        <v>20.23</v>
      </c>
      <c r="H46" s="176">
        <v>42078.400000000001</v>
      </c>
      <c r="I46" s="177">
        <v>40</v>
      </c>
      <c r="J46" s="178">
        <v>43101</v>
      </c>
      <c r="K46" s="174">
        <v>4</v>
      </c>
      <c r="L46" s="173" t="s">
        <v>52</v>
      </c>
      <c r="M46" s="174">
        <v>188</v>
      </c>
      <c r="N46" s="173" t="s">
        <v>265</v>
      </c>
      <c r="O46" s="175">
        <v>24.491</v>
      </c>
    </row>
    <row r="47" spans="1:15">
      <c r="A47" s="173" t="s">
        <v>263</v>
      </c>
      <c r="B47" s="173" t="s">
        <v>56</v>
      </c>
      <c r="C47" s="173" t="s">
        <v>276</v>
      </c>
      <c r="D47" s="173" t="s">
        <v>265</v>
      </c>
      <c r="E47" s="173" t="s">
        <v>52</v>
      </c>
      <c r="F47" s="174">
        <v>3</v>
      </c>
      <c r="G47" s="175">
        <v>24.491</v>
      </c>
      <c r="H47" s="176">
        <v>50941.279999999999</v>
      </c>
      <c r="I47" s="177">
        <v>40</v>
      </c>
      <c r="J47" s="178">
        <v>43101</v>
      </c>
      <c r="K47" s="174">
        <v>4</v>
      </c>
      <c r="L47" s="173" t="s">
        <v>52</v>
      </c>
      <c r="M47" s="174">
        <v>188</v>
      </c>
      <c r="N47" s="173" t="s">
        <v>265</v>
      </c>
      <c r="O47" s="175">
        <v>24.491</v>
      </c>
    </row>
    <row r="48" spans="1:15">
      <c r="A48" s="173" t="s">
        <v>263</v>
      </c>
      <c r="B48" s="173" t="s">
        <v>56</v>
      </c>
      <c r="C48" s="173" t="s">
        <v>276</v>
      </c>
      <c r="D48" s="173" t="s">
        <v>265</v>
      </c>
      <c r="E48" s="173" t="s">
        <v>52</v>
      </c>
      <c r="F48" s="174">
        <v>11</v>
      </c>
      <c r="G48" s="175">
        <v>16.917999999999999</v>
      </c>
      <c r="H48" s="176">
        <v>35189.440000000002</v>
      </c>
      <c r="I48" s="177">
        <v>40</v>
      </c>
      <c r="J48" s="178">
        <v>43101</v>
      </c>
      <c r="K48" s="174">
        <v>4</v>
      </c>
      <c r="L48" s="173" t="s">
        <v>52</v>
      </c>
      <c r="M48" s="174">
        <v>188</v>
      </c>
      <c r="N48" s="173" t="s">
        <v>265</v>
      </c>
      <c r="O48" s="175">
        <v>24.491</v>
      </c>
    </row>
    <row r="49" spans="1:15">
      <c r="A49" s="173" t="s">
        <v>263</v>
      </c>
      <c r="B49" s="173" t="s">
        <v>58</v>
      </c>
      <c r="C49" s="173" t="s">
        <v>277</v>
      </c>
      <c r="D49" s="173" t="s">
        <v>265</v>
      </c>
      <c r="E49" s="173" t="s">
        <v>47</v>
      </c>
      <c r="F49" s="174">
        <v>1</v>
      </c>
      <c r="G49" s="175">
        <v>14.621</v>
      </c>
      <c r="H49" s="176">
        <v>30411.68</v>
      </c>
      <c r="I49" s="177">
        <v>40</v>
      </c>
      <c r="J49" s="178">
        <v>43101</v>
      </c>
      <c r="K49" s="174">
        <v>3</v>
      </c>
      <c r="L49" s="173" t="s">
        <v>47</v>
      </c>
      <c r="M49" s="174">
        <v>153</v>
      </c>
      <c r="N49" s="173" t="s">
        <v>265</v>
      </c>
      <c r="O49" s="175">
        <v>22.629000000000001</v>
      </c>
    </row>
    <row r="50" spans="1:15">
      <c r="A50" s="173" t="s">
        <v>263</v>
      </c>
      <c r="B50" s="173" t="s">
        <v>58</v>
      </c>
      <c r="C50" s="173" t="s">
        <v>277</v>
      </c>
      <c r="D50" s="173" t="s">
        <v>265</v>
      </c>
      <c r="E50" s="173" t="s">
        <v>47</v>
      </c>
      <c r="F50" s="174">
        <v>2</v>
      </c>
      <c r="G50" s="175">
        <v>17.018000000000001</v>
      </c>
      <c r="H50" s="176">
        <v>35397.440000000002</v>
      </c>
      <c r="I50" s="177">
        <v>40</v>
      </c>
      <c r="J50" s="178">
        <v>43101</v>
      </c>
      <c r="K50" s="174">
        <v>3</v>
      </c>
      <c r="L50" s="173" t="s">
        <v>47</v>
      </c>
      <c r="M50" s="174">
        <v>153</v>
      </c>
      <c r="N50" s="173" t="s">
        <v>265</v>
      </c>
      <c r="O50" s="175">
        <v>22.629000000000001</v>
      </c>
    </row>
    <row r="51" spans="1:15">
      <c r="A51" s="173" t="s">
        <v>263</v>
      </c>
      <c r="B51" s="173" t="s">
        <v>58</v>
      </c>
      <c r="C51" s="173" t="s">
        <v>277</v>
      </c>
      <c r="D51" s="173" t="s">
        <v>265</v>
      </c>
      <c r="E51" s="173" t="s">
        <v>47</v>
      </c>
      <c r="F51" s="174">
        <v>3</v>
      </c>
      <c r="G51" s="175">
        <v>17.998999999999999</v>
      </c>
      <c r="H51" s="176">
        <v>37437.919999999998</v>
      </c>
      <c r="I51" s="177">
        <v>40</v>
      </c>
      <c r="J51" s="178">
        <v>43101</v>
      </c>
      <c r="K51" s="174">
        <v>3</v>
      </c>
      <c r="L51" s="173" t="s">
        <v>47</v>
      </c>
      <c r="M51" s="174">
        <v>153</v>
      </c>
      <c r="N51" s="173" t="s">
        <v>265</v>
      </c>
      <c r="O51" s="175">
        <v>22.629000000000001</v>
      </c>
    </row>
    <row r="52" spans="1:15">
      <c r="A52" s="173" t="s">
        <v>263</v>
      </c>
      <c r="B52" s="173" t="s">
        <v>58</v>
      </c>
      <c r="C52" s="173" t="s">
        <v>277</v>
      </c>
      <c r="D52" s="173" t="s">
        <v>265</v>
      </c>
      <c r="E52" s="173" t="s">
        <v>47</v>
      </c>
      <c r="F52" s="174">
        <v>4</v>
      </c>
      <c r="G52" s="175">
        <v>22.629000000000001</v>
      </c>
      <c r="H52" s="176">
        <v>47068.32</v>
      </c>
      <c r="I52" s="177">
        <v>40</v>
      </c>
      <c r="J52" s="178">
        <v>43101</v>
      </c>
      <c r="K52" s="174">
        <v>3</v>
      </c>
      <c r="L52" s="173" t="s">
        <v>47</v>
      </c>
      <c r="M52" s="174">
        <v>153</v>
      </c>
      <c r="N52" s="173" t="s">
        <v>265</v>
      </c>
      <c r="O52" s="175">
        <v>22.629000000000001</v>
      </c>
    </row>
    <row r="53" spans="1:15">
      <c r="A53" s="173" t="s">
        <v>263</v>
      </c>
      <c r="B53" s="173" t="s">
        <v>58</v>
      </c>
      <c r="C53" s="173" t="s">
        <v>277</v>
      </c>
      <c r="D53" s="173" t="s">
        <v>265</v>
      </c>
      <c r="E53" s="173" t="s">
        <v>47</v>
      </c>
      <c r="F53" s="174">
        <v>11</v>
      </c>
      <c r="G53" s="175">
        <v>14.034000000000001</v>
      </c>
      <c r="H53" s="176">
        <v>29190.720000000001</v>
      </c>
      <c r="I53" s="177">
        <v>40</v>
      </c>
      <c r="J53" s="178">
        <v>43101</v>
      </c>
      <c r="K53" s="174">
        <v>3</v>
      </c>
      <c r="L53" s="173" t="s">
        <v>47</v>
      </c>
      <c r="M53" s="174">
        <v>153</v>
      </c>
      <c r="N53" s="173" t="s">
        <v>265</v>
      </c>
      <c r="O53" s="175">
        <v>22.629000000000001</v>
      </c>
    </row>
    <row r="54" spans="1:15">
      <c r="A54" s="173" t="s">
        <v>263</v>
      </c>
      <c r="B54" s="173" t="s">
        <v>60</v>
      </c>
      <c r="C54" s="173" t="s">
        <v>278</v>
      </c>
      <c r="D54" s="173" t="s">
        <v>265</v>
      </c>
      <c r="E54" s="173" t="s">
        <v>47</v>
      </c>
      <c r="F54" s="174">
        <v>1</v>
      </c>
      <c r="G54" s="175">
        <v>14.621</v>
      </c>
      <c r="H54" s="176">
        <v>30411.68</v>
      </c>
      <c r="I54" s="177">
        <v>40</v>
      </c>
      <c r="J54" s="178">
        <v>43101</v>
      </c>
      <c r="K54" s="174">
        <v>3</v>
      </c>
      <c r="L54" s="173" t="s">
        <v>47</v>
      </c>
      <c r="M54" s="174">
        <v>160</v>
      </c>
      <c r="N54" s="173" t="s">
        <v>265</v>
      </c>
      <c r="O54" s="175">
        <v>22.629000000000001</v>
      </c>
    </row>
    <row r="55" spans="1:15">
      <c r="A55" s="173" t="s">
        <v>263</v>
      </c>
      <c r="B55" s="173" t="s">
        <v>60</v>
      </c>
      <c r="C55" s="173" t="s">
        <v>278</v>
      </c>
      <c r="D55" s="173" t="s">
        <v>265</v>
      </c>
      <c r="E55" s="173" t="s">
        <v>47</v>
      </c>
      <c r="F55" s="174">
        <v>2</v>
      </c>
      <c r="G55" s="175">
        <v>17.018000000000001</v>
      </c>
      <c r="H55" s="176">
        <v>35397.440000000002</v>
      </c>
      <c r="I55" s="177">
        <v>40</v>
      </c>
      <c r="J55" s="178">
        <v>43101</v>
      </c>
      <c r="K55" s="174">
        <v>3</v>
      </c>
      <c r="L55" s="173" t="s">
        <v>47</v>
      </c>
      <c r="M55" s="174">
        <v>160</v>
      </c>
      <c r="N55" s="173" t="s">
        <v>265</v>
      </c>
      <c r="O55" s="175">
        <v>22.629000000000001</v>
      </c>
    </row>
    <row r="56" spans="1:15">
      <c r="A56" s="173" t="s">
        <v>263</v>
      </c>
      <c r="B56" s="173" t="s">
        <v>60</v>
      </c>
      <c r="C56" s="173" t="s">
        <v>278</v>
      </c>
      <c r="D56" s="173" t="s">
        <v>265</v>
      </c>
      <c r="E56" s="173" t="s">
        <v>47</v>
      </c>
      <c r="F56" s="174">
        <v>3</v>
      </c>
      <c r="G56" s="175">
        <v>17.998999999999999</v>
      </c>
      <c r="H56" s="176">
        <v>37437.919999999998</v>
      </c>
      <c r="I56" s="177">
        <v>40</v>
      </c>
      <c r="J56" s="178">
        <v>43101</v>
      </c>
      <c r="K56" s="174">
        <v>3</v>
      </c>
      <c r="L56" s="173" t="s">
        <v>47</v>
      </c>
      <c r="M56" s="174">
        <v>160</v>
      </c>
      <c r="N56" s="173" t="s">
        <v>265</v>
      </c>
      <c r="O56" s="175">
        <v>22.629000000000001</v>
      </c>
    </row>
    <row r="57" spans="1:15">
      <c r="A57" s="173" t="s">
        <v>263</v>
      </c>
      <c r="B57" s="173" t="s">
        <v>60</v>
      </c>
      <c r="C57" s="173" t="s">
        <v>278</v>
      </c>
      <c r="D57" s="173" t="s">
        <v>265</v>
      </c>
      <c r="E57" s="173" t="s">
        <v>47</v>
      </c>
      <c r="F57" s="174">
        <v>4</v>
      </c>
      <c r="G57" s="175">
        <v>22.629000000000001</v>
      </c>
      <c r="H57" s="176">
        <v>47068.32</v>
      </c>
      <c r="I57" s="177">
        <v>40</v>
      </c>
      <c r="J57" s="178">
        <v>43101</v>
      </c>
      <c r="K57" s="174">
        <v>3</v>
      </c>
      <c r="L57" s="173" t="s">
        <v>47</v>
      </c>
      <c r="M57" s="174">
        <v>160</v>
      </c>
      <c r="N57" s="173" t="s">
        <v>265</v>
      </c>
      <c r="O57" s="175">
        <v>22.629000000000001</v>
      </c>
    </row>
    <row r="58" spans="1:15">
      <c r="A58" s="173" t="s">
        <v>263</v>
      </c>
      <c r="B58" s="173" t="s">
        <v>60</v>
      </c>
      <c r="C58" s="173" t="s">
        <v>278</v>
      </c>
      <c r="D58" s="173" t="s">
        <v>265</v>
      </c>
      <c r="E58" s="173" t="s">
        <v>47</v>
      </c>
      <c r="F58" s="174">
        <v>11</v>
      </c>
      <c r="G58" s="175">
        <v>14.034000000000001</v>
      </c>
      <c r="H58" s="176">
        <v>29190.720000000001</v>
      </c>
      <c r="I58" s="177">
        <v>40</v>
      </c>
      <c r="J58" s="178">
        <v>43101</v>
      </c>
      <c r="K58" s="174">
        <v>3</v>
      </c>
      <c r="L58" s="173" t="s">
        <v>47</v>
      </c>
      <c r="M58" s="174">
        <v>160</v>
      </c>
      <c r="N58" s="173" t="s">
        <v>265</v>
      </c>
      <c r="O58" s="175">
        <v>22.629000000000001</v>
      </c>
    </row>
    <row r="59" spans="1:15">
      <c r="A59" s="173" t="s">
        <v>263</v>
      </c>
      <c r="B59" s="173" t="s">
        <v>63</v>
      </c>
      <c r="C59" s="173" t="s">
        <v>279</v>
      </c>
      <c r="D59" s="173" t="s">
        <v>265</v>
      </c>
      <c r="E59" s="173" t="s">
        <v>62</v>
      </c>
      <c r="F59" s="174">
        <v>1</v>
      </c>
      <c r="G59" s="175">
        <v>15.082000000000001</v>
      </c>
      <c r="H59" s="176">
        <v>31370.560000000001</v>
      </c>
      <c r="I59" s="177">
        <v>40</v>
      </c>
      <c r="J59" s="178">
        <v>43101</v>
      </c>
      <c r="K59" s="174">
        <v>4</v>
      </c>
      <c r="L59" s="173" t="s">
        <v>62</v>
      </c>
      <c r="M59" s="174">
        <v>190</v>
      </c>
      <c r="N59" s="173" t="s">
        <v>265</v>
      </c>
      <c r="O59" s="175">
        <v>24.390999999999998</v>
      </c>
    </row>
    <row r="60" spans="1:15">
      <c r="A60" s="173" t="s">
        <v>263</v>
      </c>
      <c r="B60" s="173" t="s">
        <v>63</v>
      </c>
      <c r="C60" s="173" t="s">
        <v>279</v>
      </c>
      <c r="D60" s="173" t="s">
        <v>265</v>
      </c>
      <c r="E60" s="173" t="s">
        <v>62</v>
      </c>
      <c r="F60" s="174">
        <v>2</v>
      </c>
      <c r="G60" s="175">
        <v>17.556999999999999</v>
      </c>
      <c r="H60" s="176">
        <v>36518.559999999998</v>
      </c>
      <c r="I60" s="177">
        <v>40</v>
      </c>
      <c r="J60" s="178">
        <v>43101</v>
      </c>
      <c r="K60" s="174">
        <v>4</v>
      </c>
      <c r="L60" s="173" t="s">
        <v>62</v>
      </c>
      <c r="M60" s="174">
        <v>190</v>
      </c>
      <c r="N60" s="173" t="s">
        <v>265</v>
      </c>
      <c r="O60" s="175">
        <v>24.390999999999998</v>
      </c>
    </row>
    <row r="61" spans="1:15">
      <c r="A61" s="173" t="s">
        <v>263</v>
      </c>
      <c r="B61" s="173" t="s">
        <v>63</v>
      </c>
      <c r="C61" s="173" t="s">
        <v>279</v>
      </c>
      <c r="D61" s="173" t="s">
        <v>265</v>
      </c>
      <c r="E61" s="173" t="s">
        <v>62</v>
      </c>
      <c r="F61" s="174">
        <v>3</v>
      </c>
      <c r="G61" s="175">
        <v>20.198</v>
      </c>
      <c r="H61" s="176">
        <v>42011.839999999997</v>
      </c>
      <c r="I61" s="177">
        <v>40</v>
      </c>
      <c r="J61" s="178">
        <v>43101</v>
      </c>
      <c r="K61" s="174">
        <v>4</v>
      </c>
      <c r="L61" s="173" t="s">
        <v>62</v>
      </c>
      <c r="M61" s="174">
        <v>190</v>
      </c>
      <c r="N61" s="173" t="s">
        <v>265</v>
      </c>
      <c r="O61" s="175">
        <v>24.390999999999998</v>
      </c>
    </row>
    <row r="62" spans="1:15">
      <c r="A62" s="173" t="s">
        <v>263</v>
      </c>
      <c r="B62" s="173" t="s">
        <v>63</v>
      </c>
      <c r="C62" s="173" t="s">
        <v>279</v>
      </c>
      <c r="D62" s="173" t="s">
        <v>265</v>
      </c>
      <c r="E62" s="173" t="s">
        <v>62</v>
      </c>
      <c r="F62" s="174">
        <v>4</v>
      </c>
      <c r="G62" s="175">
        <v>24.390999999999998</v>
      </c>
      <c r="H62" s="176">
        <v>50733.279999999999</v>
      </c>
      <c r="I62" s="177">
        <v>40</v>
      </c>
      <c r="J62" s="178">
        <v>43101</v>
      </c>
      <c r="K62" s="174">
        <v>4</v>
      </c>
      <c r="L62" s="173" t="s">
        <v>62</v>
      </c>
      <c r="M62" s="174">
        <v>190</v>
      </c>
      <c r="N62" s="173" t="s">
        <v>265</v>
      </c>
      <c r="O62" s="175">
        <v>24.390999999999998</v>
      </c>
    </row>
    <row r="63" spans="1:15">
      <c r="A63" s="173" t="s">
        <v>263</v>
      </c>
      <c r="B63" s="173" t="s">
        <v>63</v>
      </c>
      <c r="C63" s="173" t="s">
        <v>279</v>
      </c>
      <c r="D63" s="173" t="s">
        <v>265</v>
      </c>
      <c r="E63" s="173" t="s">
        <v>62</v>
      </c>
      <c r="F63" s="174">
        <v>11</v>
      </c>
      <c r="G63" s="175">
        <v>14.476000000000001</v>
      </c>
      <c r="H63" s="176">
        <v>30110.080000000002</v>
      </c>
      <c r="I63" s="177">
        <v>40</v>
      </c>
      <c r="J63" s="178">
        <v>43101</v>
      </c>
      <c r="K63" s="174">
        <v>4</v>
      </c>
      <c r="L63" s="173" t="s">
        <v>62</v>
      </c>
      <c r="M63" s="174">
        <v>190</v>
      </c>
      <c r="N63" s="173" t="s">
        <v>265</v>
      </c>
      <c r="O63" s="175">
        <v>24.390999999999998</v>
      </c>
    </row>
    <row r="64" spans="1:15">
      <c r="A64" s="173" t="s">
        <v>263</v>
      </c>
      <c r="B64" s="173" t="s">
        <v>66</v>
      </c>
      <c r="C64" s="173" t="s">
        <v>280</v>
      </c>
      <c r="D64" s="173" t="s">
        <v>265</v>
      </c>
      <c r="E64" s="173" t="s">
        <v>65</v>
      </c>
      <c r="F64" s="174">
        <v>1</v>
      </c>
      <c r="G64" s="175">
        <v>23.523</v>
      </c>
      <c r="H64" s="176">
        <v>48927.839999999997</v>
      </c>
      <c r="I64" s="177">
        <v>40</v>
      </c>
      <c r="J64" s="178">
        <v>43101</v>
      </c>
      <c r="K64" s="174">
        <v>5</v>
      </c>
      <c r="L64" s="173" t="s">
        <v>65</v>
      </c>
      <c r="M64" s="174">
        <v>263</v>
      </c>
      <c r="N64" s="173" t="s">
        <v>265</v>
      </c>
      <c r="O64" s="175">
        <v>26.140999999999998</v>
      </c>
    </row>
    <row r="65" spans="1:15">
      <c r="A65" s="173" t="s">
        <v>263</v>
      </c>
      <c r="B65" s="173" t="s">
        <v>66</v>
      </c>
      <c r="C65" s="173" t="s">
        <v>280</v>
      </c>
      <c r="D65" s="173" t="s">
        <v>265</v>
      </c>
      <c r="E65" s="173" t="s">
        <v>65</v>
      </c>
      <c r="F65" s="174">
        <v>2</v>
      </c>
      <c r="G65" s="175">
        <v>24.314</v>
      </c>
      <c r="H65" s="176">
        <v>50573.120000000003</v>
      </c>
      <c r="I65" s="177">
        <v>40</v>
      </c>
      <c r="J65" s="178">
        <v>43101</v>
      </c>
      <c r="K65" s="174">
        <v>5</v>
      </c>
      <c r="L65" s="173" t="s">
        <v>65</v>
      </c>
      <c r="M65" s="174">
        <v>263</v>
      </c>
      <c r="N65" s="173" t="s">
        <v>265</v>
      </c>
      <c r="O65" s="175">
        <v>26.140999999999998</v>
      </c>
    </row>
    <row r="66" spans="1:15">
      <c r="A66" s="173" t="s">
        <v>263</v>
      </c>
      <c r="B66" s="173" t="s">
        <v>66</v>
      </c>
      <c r="C66" s="173" t="s">
        <v>280</v>
      </c>
      <c r="D66" s="173" t="s">
        <v>265</v>
      </c>
      <c r="E66" s="173" t="s">
        <v>65</v>
      </c>
      <c r="F66" s="174">
        <v>3</v>
      </c>
      <c r="G66" s="175">
        <v>25.132000000000001</v>
      </c>
      <c r="H66" s="176">
        <v>52274.559999999998</v>
      </c>
      <c r="I66" s="177">
        <v>40</v>
      </c>
      <c r="J66" s="178">
        <v>43101</v>
      </c>
      <c r="K66" s="174">
        <v>5</v>
      </c>
      <c r="L66" s="173" t="s">
        <v>65</v>
      </c>
      <c r="M66" s="174">
        <v>263</v>
      </c>
      <c r="N66" s="173" t="s">
        <v>265</v>
      </c>
      <c r="O66" s="175">
        <v>26.140999999999998</v>
      </c>
    </row>
    <row r="67" spans="1:15">
      <c r="A67" s="173" t="s">
        <v>263</v>
      </c>
      <c r="B67" s="173" t="s">
        <v>66</v>
      </c>
      <c r="C67" s="173" t="s">
        <v>280</v>
      </c>
      <c r="D67" s="173" t="s">
        <v>265</v>
      </c>
      <c r="E67" s="173" t="s">
        <v>65</v>
      </c>
      <c r="F67" s="174">
        <v>4</v>
      </c>
      <c r="G67" s="175">
        <v>26.140999999999998</v>
      </c>
      <c r="H67" s="176">
        <v>54373.279999999999</v>
      </c>
      <c r="I67" s="177">
        <v>40</v>
      </c>
      <c r="J67" s="178">
        <v>43101</v>
      </c>
      <c r="K67" s="174">
        <v>5</v>
      </c>
      <c r="L67" s="173" t="s">
        <v>65</v>
      </c>
      <c r="M67" s="174">
        <v>263</v>
      </c>
      <c r="N67" s="173" t="s">
        <v>265</v>
      </c>
      <c r="O67" s="175">
        <v>26.140999999999998</v>
      </c>
    </row>
    <row r="68" spans="1:15">
      <c r="A68" s="173" t="s">
        <v>263</v>
      </c>
      <c r="B68" s="173" t="s">
        <v>66</v>
      </c>
      <c r="C68" s="173" t="s">
        <v>280</v>
      </c>
      <c r="D68" s="173" t="s">
        <v>265</v>
      </c>
      <c r="E68" s="173" t="s">
        <v>65</v>
      </c>
      <c r="F68" s="174">
        <v>11</v>
      </c>
      <c r="G68" s="175">
        <v>22.58</v>
      </c>
      <c r="H68" s="176">
        <v>46966.400000000001</v>
      </c>
      <c r="I68" s="177">
        <v>40</v>
      </c>
      <c r="J68" s="178">
        <v>43101</v>
      </c>
      <c r="K68" s="174">
        <v>5</v>
      </c>
      <c r="L68" s="173" t="s">
        <v>65</v>
      </c>
      <c r="M68" s="174">
        <v>263</v>
      </c>
      <c r="N68" s="173" t="s">
        <v>265</v>
      </c>
      <c r="O68" s="175">
        <v>26.140999999999998</v>
      </c>
    </row>
    <row r="69" spans="1:15">
      <c r="A69" s="173" t="s">
        <v>263</v>
      </c>
      <c r="B69" s="173" t="s">
        <v>68</v>
      </c>
      <c r="C69" s="173" t="s">
        <v>281</v>
      </c>
      <c r="D69" s="173" t="s">
        <v>265</v>
      </c>
      <c r="E69" s="173" t="s">
        <v>282</v>
      </c>
      <c r="F69" s="174">
        <v>1</v>
      </c>
      <c r="G69" s="175">
        <v>26.706</v>
      </c>
      <c r="H69" s="176">
        <v>55548.480000000003</v>
      </c>
      <c r="I69" s="177">
        <v>40</v>
      </c>
      <c r="J69" s="178">
        <v>43101</v>
      </c>
      <c r="K69" s="174">
        <v>4</v>
      </c>
      <c r="L69" s="173" t="s">
        <v>282</v>
      </c>
      <c r="M69" s="174">
        <v>205</v>
      </c>
      <c r="N69" s="173" t="s">
        <v>265</v>
      </c>
      <c r="O69" s="175">
        <v>26.706</v>
      </c>
    </row>
    <row r="70" spans="1:15">
      <c r="A70" s="173" t="s">
        <v>263</v>
      </c>
      <c r="B70" s="173" t="s">
        <v>68</v>
      </c>
      <c r="C70" s="173" t="s">
        <v>281</v>
      </c>
      <c r="D70" s="173" t="s">
        <v>265</v>
      </c>
      <c r="E70" s="173" t="s">
        <v>282</v>
      </c>
      <c r="F70" s="174">
        <v>11</v>
      </c>
      <c r="G70" s="175">
        <v>25.635000000000002</v>
      </c>
      <c r="H70" s="176">
        <v>53320.800000000003</v>
      </c>
      <c r="I70" s="177">
        <v>40</v>
      </c>
      <c r="J70" s="178">
        <v>43101</v>
      </c>
      <c r="K70" s="174">
        <v>4</v>
      </c>
      <c r="L70" s="173" t="s">
        <v>282</v>
      </c>
      <c r="M70" s="174">
        <v>205</v>
      </c>
      <c r="N70" s="173" t="s">
        <v>265</v>
      </c>
      <c r="O70" s="175">
        <v>26.706</v>
      </c>
    </row>
    <row r="71" spans="1:15">
      <c r="A71" s="173" t="s">
        <v>263</v>
      </c>
      <c r="B71" s="173" t="s">
        <v>71</v>
      </c>
      <c r="C71" s="173" t="s">
        <v>283</v>
      </c>
      <c r="D71" s="173" t="s">
        <v>265</v>
      </c>
      <c r="E71" s="173" t="s">
        <v>19</v>
      </c>
      <c r="F71" s="174">
        <v>1</v>
      </c>
      <c r="G71" s="175">
        <v>24.085999999999999</v>
      </c>
      <c r="H71" s="176">
        <v>50098.879999999997</v>
      </c>
      <c r="I71" s="177">
        <v>40</v>
      </c>
      <c r="J71" s="178">
        <v>43101</v>
      </c>
      <c r="K71" s="174">
        <v>4</v>
      </c>
      <c r="L71" s="173" t="s">
        <v>19</v>
      </c>
      <c r="M71" s="174">
        <v>205</v>
      </c>
      <c r="N71" s="173" t="s">
        <v>265</v>
      </c>
      <c r="O71" s="175">
        <v>26.431999999999999</v>
      </c>
    </row>
    <row r="72" spans="1:15">
      <c r="A72" s="173" t="s">
        <v>263</v>
      </c>
      <c r="B72" s="173" t="s">
        <v>71</v>
      </c>
      <c r="C72" s="173" t="s">
        <v>283</v>
      </c>
      <c r="D72" s="173" t="s">
        <v>265</v>
      </c>
      <c r="E72" s="173" t="s">
        <v>19</v>
      </c>
      <c r="F72" s="174">
        <v>2</v>
      </c>
      <c r="G72" s="175">
        <v>24.844999999999999</v>
      </c>
      <c r="H72" s="176">
        <v>51677.599999999999</v>
      </c>
      <c r="I72" s="177">
        <v>40</v>
      </c>
      <c r="J72" s="178">
        <v>43101</v>
      </c>
      <c r="K72" s="174">
        <v>4</v>
      </c>
      <c r="L72" s="173" t="s">
        <v>19</v>
      </c>
      <c r="M72" s="174">
        <v>205</v>
      </c>
      <c r="N72" s="173" t="s">
        <v>265</v>
      </c>
      <c r="O72" s="175">
        <v>26.431999999999999</v>
      </c>
    </row>
    <row r="73" spans="1:15">
      <c r="A73" s="173" t="s">
        <v>263</v>
      </c>
      <c r="B73" s="173" t="s">
        <v>71</v>
      </c>
      <c r="C73" s="173" t="s">
        <v>283</v>
      </c>
      <c r="D73" s="173" t="s">
        <v>265</v>
      </c>
      <c r="E73" s="173" t="s">
        <v>19</v>
      </c>
      <c r="F73" s="174">
        <v>3</v>
      </c>
      <c r="G73" s="175">
        <v>25.626999999999999</v>
      </c>
      <c r="H73" s="176">
        <v>53304.160000000003</v>
      </c>
      <c r="I73" s="177">
        <v>40</v>
      </c>
      <c r="J73" s="178">
        <v>43101</v>
      </c>
      <c r="K73" s="174">
        <v>4</v>
      </c>
      <c r="L73" s="173" t="s">
        <v>19</v>
      </c>
      <c r="M73" s="174">
        <v>205</v>
      </c>
      <c r="N73" s="173" t="s">
        <v>265</v>
      </c>
      <c r="O73" s="175">
        <v>26.431999999999999</v>
      </c>
    </row>
    <row r="74" spans="1:15">
      <c r="A74" s="173" t="s">
        <v>263</v>
      </c>
      <c r="B74" s="173" t="s">
        <v>71</v>
      </c>
      <c r="C74" s="173" t="s">
        <v>283</v>
      </c>
      <c r="D74" s="173" t="s">
        <v>265</v>
      </c>
      <c r="E74" s="173" t="s">
        <v>19</v>
      </c>
      <c r="F74" s="174">
        <v>4</v>
      </c>
      <c r="G74" s="175">
        <v>26.431999999999999</v>
      </c>
      <c r="H74" s="176">
        <v>54978.559999999998</v>
      </c>
      <c r="I74" s="177">
        <v>40</v>
      </c>
      <c r="J74" s="178">
        <v>43101</v>
      </c>
      <c r="K74" s="174">
        <v>4</v>
      </c>
      <c r="L74" s="173" t="s">
        <v>19</v>
      </c>
      <c r="M74" s="174">
        <v>205</v>
      </c>
      <c r="N74" s="173" t="s">
        <v>265</v>
      </c>
      <c r="O74" s="175">
        <v>26.431999999999999</v>
      </c>
    </row>
    <row r="75" spans="1:15">
      <c r="A75" s="173" t="s">
        <v>263</v>
      </c>
      <c r="B75" s="173" t="s">
        <v>71</v>
      </c>
      <c r="C75" s="173" t="s">
        <v>283</v>
      </c>
      <c r="D75" s="173" t="s">
        <v>265</v>
      </c>
      <c r="E75" s="173" t="s">
        <v>19</v>
      </c>
      <c r="F75" s="174">
        <v>11</v>
      </c>
      <c r="G75" s="175">
        <v>23.12</v>
      </c>
      <c r="H75" s="176">
        <v>48089.599999999999</v>
      </c>
      <c r="I75" s="177">
        <v>40</v>
      </c>
      <c r="J75" s="178">
        <v>43101</v>
      </c>
      <c r="K75" s="174">
        <v>4</v>
      </c>
      <c r="L75" s="173" t="s">
        <v>19</v>
      </c>
      <c r="M75" s="174">
        <v>205</v>
      </c>
      <c r="N75" s="173" t="s">
        <v>265</v>
      </c>
      <c r="O75" s="175">
        <v>26.431999999999999</v>
      </c>
    </row>
    <row r="76" spans="1:15">
      <c r="A76" s="173" t="s">
        <v>263</v>
      </c>
      <c r="B76" s="173" t="s">
        <v>74</v>
      </c>
      <c r="C76" s="173" t="s">
        <v>284</v>
      </c>
      <c r="D76" s="173" t="s">
        <v>265</v>
      </c>
      <c r="E76" s="173" t="s">
        <v>19</v>
      </c>
      <c r="F76" s="174">
        <v>1</v>
      </c>
      <c r="G76" s="175">
        <v>24.085999999999999</v>
      </c>
      <c r="H76" s="176">
        <v>50098.879999999997</v>
      </c>
      <c r="I76" s="177">
        <v>40</v>
      </c>
      <c r="J76" s="178">
        <v>43101</v>
      </c>
      <c r="K76" s="174">
        <v>4</v>
      </c>
      <c r="L76" s="173" t="s">
        <v>19</v>
      </c>
      <c r="M76" s="174">
        <v>205</v>
      </c>
      <c r="N76" s="173" t="s">
        <v>265</v>
      </c>
      <c r="O76" s="175">
        <v>26.431999999999999</v>
      </c>
    </row>
    <row r="77" spans="1:15">
      <c r="A77" s="173" t="s">
        <v>263</v>
      </c>
      <c r="B77" s="173" t="s">
        <v>74</v>
      </c>
      <c r="C77" s="173" t="s">
        <v>284</v>
      </c>
      <c r="D77" s="173" t="s">
        <v>265</v>
      </c>
      <c r="E77" s="173" t="s">
        <v>19</v>
      </c>
      <c r="F77" s="174">
        <v>2</v>
      </c>
      <c r="G77" s="175">
        <v>24.844999999999999</v>
      </c>
      <c r="H77" s="176">
        <v>51677.599999999999</v>
      </c>
      <c r="I77" s="177">
        <v>40</v>
      </c>
      <c r="J77" s="178">
        <v>43101</v>
      </c>
      <c r="K77" s="174">
        <v>4</v>
      </c>
      <c r="L77" s="173" t="s">
        <v>19</v>
      </c>
      <c r="M77" s="174">
        <v>205</v>
      </c>
      <c r="N77" s="173" t="s">
        <v>265</v>
      </c>
      <c r="O77" s="175">
        <v>26.431999999999999</v>
      </c>
    </row>
    <row r="78" spans="1:15">
      <c r="A78" s="173" t="s">
        <v>263</v>
      </c>
      <c r="B78" s="173" t="s">
        <v>74</v>
      </c>
      <c r="C78" s="173" t="s">
        <v>284</v>
      </c>
      <c r="D78" s="173" t="s">
        <v>265</v>
      </c>
      <c r="E78" s="173" t="s">
        <v>19</v>
      </c>
      <c r="F78" s="174">
        <v>3</v>
      </c>
      <c r="G78" s="175">
        <v>25.626999999999999</v>
      </c>
      <c r="H78" s="176">
        <v>53304.160000000003</v>
      </c>
      <c r="I78" s="177">
        <v>40</v>
      </c>
      <c r="J78" s="178">
        <v>43101</v>
      </c>
      <c r="K78" s="174">
        <v>4</v>
      </c>
      <c r="L78" s="173" t="s">
        <v>19</v>
      </c>
      <c r="M78" s="174">
        <v>205</v>
      </c>
      <c r="N78" s="173" t="s">
        <v>265</v>
      </c>
      <c r="O78" s="175">
        <v>26.431999999999999</v>
      </c>
    </row>
    <row r="79" spans="1:15">
      <c r="A79" s="173" t="s">
        <v>263</v>
      </c>
      <c r="B79" s="173" t="s">
        <v>74</v>
      </c>
      <c r="C79" s="173" t="s">
        <v>284</v>
      </c>
      <c r="D79" s="173" t="s">
        <v>265</v>
      </c>
      <c r="E79" s="173" t="s">
        <v>19</v>
      </c>
      <c r="F79" s="174">
        <v>4</v>
      </c>
      <c r="G79" s="175">
        <v>26.431999999999999</v>
      </c>
      <c r="H79" s="176">
        <v>54978.559999999998</v>
      </c>
      <c r="I79" s="177">
        <v>40</v>
      </c>
      <c r="J79" s="178">
        <v>43101</v>
      </c>
      <c r="K79" s="174">
        <v>4</v>
      </c>
      <c r="L79" s="173" t="s">
        <v>19</v>
      </c>
      <c r="M79" s="174">
        <v>205</v>
      </c>
      <c r="N79" s="173" t="s">
        <v>265</v>
      </c>
      <c r="O79" s="175">
        <v>26.431999999999999</v>
      </c>
    </row>
    <row r="80" spans="1:15">
      <c r="A80" s="173" t="s">
        <v>263</v>
      </c>
      <c r="B80" s="173" t="s">
        <v>74</v>
      </c>
      <c r="C80" s="173" t="s">
        <v>284</v>
      </c>
      <c r="D80" s="173" t="s">
        <v>265</v>
      </c>
      <c r="E80" s="173" t="s">
        <v>19</v>
      </c>
      <c r="F80" s="174">
        <v>11</v>
      </c>
      <c r="G80" s="175">
        <v>23.12</v>
      </c>
      <c r="H80" s="176">
        <v>48089.599999999999</v>
      </c>
      <c r="I80" s="177">
        <v>40</v>
      </c>
      <c r="J80" s="178">
        <v>43101</v>
      </c>
      <c r="K80" s="174">
        <v>4</v>
      </c>
      <c r="L80" s="173" t="s">
        <v>19</v>
      </c>
      <c r="M80" s="174">
        <v>205</v>
      </c>
      <c r="N80" s="173" t="s">
        <v>265</v>
      </c>
      <c r="O80" s="175">
        <v>26.431999999999999</v>
      </c>
    </row>
    <row r="81" spans="1:15">
      <c r="A81" s="173" t="s">
        <v>263</v>
      </c>
      <c r="B81" s="173" t="s">
        <v>80</v>
      </c>
      <c r="C81" s="173" t="s">
        <v>285</v>
      </c>
      <c r="D81" s="173" t="s">
        <v>265</v>
      </c>
      <c r="E81" s="173" t="s">
        <v>19</v>
      </c>
      <c r="F81" s="174">
        <v>1</v>
      </c>
      <c r="G81" s="175">
        <v>24.085999999999999</v>
      </c>
      <c r="H81" s="176">
        <v>50098.879999999997</v>
      </c>
      <c r="I81" s="177">
        <v>40</v>
      </c>
      <c r="J81" s="178">
        <v>43101</v>
      </c>
      <c r="K81" s="174">
        <v>4</v>
      </c>
      <c r="L81" s="173" t="s">
        <v>19</v>
      </c>
      <c r="M81" s="174">
        <v>205</v>
      </c>
      <c r="N81" s="173" t="s">
        <v>265</v>
      </c>
      <c r="O81" s="175">
        <v>26.431999999999999</v>
      </c>
    </row>
    <row r="82" spans="1:15">
      <c r="A82" s="173" t="s">
        <v>263</v>
      </c>
      <c r="B82" s="173" t="s">
        <v>80</v>
      </c>
      <c r="C82" s="173" t="s">
        <v>285</v>
      </c>
      <c r="D82" s="173" t="s">
        <v>265</v>
      </c>
      <c r="E82" s="173" t="s">
        <v>19</v>
      </c>
      <c r="F82" s="174">
        <v>2</v>
      </c>
      <c r="G82" s="175">
        <v>24.844999999999999</v>
      </c>
      <c r="H82" s="176">
        <v>51677.599999999999</v>
      </c>
      <c r="I82" s="177">
        <v>40</v>
      </c>
      <c r="J82" s="178">
        <v>43101</v>
      </c>
      <c r="K82" s="174">
        <v>4</v>
      </c>
      <c r="L82" s="173" t="s">
        <v>19</v>
      </c>
      <c r="M82" s="174">
        <v>205</v>
      </c>
      <c r="N82" s="173" t="s">
        <v>265</v>
      </c>
      <c r="O82" s="175">
        <v>26.431999999999999</v>
      </c>
    </row>
    <row r="83" spans="1:15">
      <c r="A83" s="173" t="s">
        <v>263</v>
      </c>
      <c r="B83" s="173" t="s">
        <v>80</v>
      </c>
      <c r="C83" s="173" t="s">
        <v>285</v>
      </c>
      <c r="D83" s="173" t="s">
        <v>265</v>
      </c>
      <c r="E83" s="173" t="s">
        <v>19</v>
      </c>
      <c r="F83" s="174">
        <v>3</v>
      </c>
      <c r="G83" s="175">
        <v>25.626999999999999</v>
      </c>
      <c r="H83" s="176">
        <v>53304.160000000003</v>
      </c>
      <c r="I83" s="177">
        <v>40</v>
      </c>
      <c r="J83" s="178">
        <v>43101</v>
      </c>
      <c r="K83" s="174">
        <v>4</v>
      </c>
      <c r="L83" s="173" t="s">
        <v>19</v>
      </c>
      <c r="M83" s="174">
        <v>205</v>
      </c>
      <c r="N83" s="173" t="s">
        <v>265</v>
      </c>
      <c r="O83" s="175">
        <v>26.431999999999999</v>
      </c>
    </row>
    <row r="84" spans="1:15">
      <c r="A84" s="173" t="s">
        <v>263</v>
      </c>
      <c r="B84" s="173" t="s">
        <v>80</v>
      </c>
      <c r="C84" s="173" t="s">
        <v>285</v>
      </c>
      <c r="D84" s="173" t="s">
        <v>265</v>
      </c>
      <c r="E84" s="173" t="s">
        <v>19</v>
      </c>
      <c r="F84" s="174">
        <v>4</v>
      </c>
      <c r="G84" s="175">
        <v>26.431999999999999</v>
      </c>
      <c r="H84" s="176">
        <v>54978.559999999998</v>
      </c>
      <c r="I84" s="177">
        <v>40</v>
      </c>
      <c r="J84" s="178">
        <v>43101</v>
      </c>
      <c r="K84" s="174">
        <v>4</v>
      </c>
      <c r="L84" s="173" t="s">
        <v>19</v>
      </c>
      <c r="M84" s="174">
        <v>205</v>
      </c>
      <c r="N84" s="173" t="s">
        <v>265</v>
      </c>
      <c r="O84" s="175">
        <v>26.431999999999999</v>
      </c>
    </row>
    <row r="85" spans="1:15">
      <c r="A85" s="173" t="s">
        <v>263</v>
      </c>
      <c r="B85" s="173" t="s">
        <v>80</v>
      </c>
      <c r="C85" s="173" t="s">
        <v>285</v>
      </c>
      <c r="D85" s="173" t="s">
        <v>265</v>
      </c>
      <c r="E85" s="173" t="s">
        <v>19</v>
      </c>
      <c r="F85" s="174">
        <v>11</v>
      </c>
      <c r="G85" s="175">
        <v>23.12</v>
      </c>
      <c r="H85" s="176">
        <v>48089.599999999999</v>
      </c>
      <c r="I85" s="177">
        <v>40</v>
      </c>
      <c r="J85" s="178">
        <v>43101</v>
      </c>
      <c r="K85" s="174">
        <v>4</v>
      </c>
      <c r="L85" s="173" t="s">
        <v>19</v>
      </c>
      <c r="M85" s="174">
        <v>205</v>
      </c>
      <c r="N85" s="173" t="s">
        <v>265</v>
      </c>
      <c r="O85" s="175">
        <v>26.431999999999999</v>
      </c>
    </row>
    <row r="86" spans="1:15">
      <c r="A86" s="173" t="s">
        <v>263</v>
      </c>
      <c r="B86" s="173" t="s">
        <v>83</v>
      </c>
      <c r="C86" s="173" t="s">
        <v>286</v>
      </c>
      <c r="D86" s="173" t="s">
        <v>265</v>
      </c>
      <c r="E86" s="173" t="s">
        <v>19</v>
      </c>
      <c r="F86" s="174">
        <v>1</v>
      </c>
      <c r="G86" s="175">
        <v>24.085999999999999</v>
      </c>
      <c r="H86" s="176">
        <v>50098.879999999997</v>
      </c>
      <c r="I86" s="177">
        <v>40</v>
      </c>
      <c r="J86" s="178">
        <v>43101</v>
      </c>
      <c r="K86" s="174">
        <v>4</v>
      </c>
      <c r="L86" s="173" t="s">
        <v>19</v>
      </c>
      <c r="M86" s="174">
        <v>205</v>
      </c>
      <c r="N86" s="173" t="s">
        <v>265</v>
      </c>
      <c r="O86" s="175">
        <v>26.431999999999999</v>
      </c>
    </row>
    <row r="87" spans="1:15">
      <c r="A87" s="173" t="s">
        <v>263</v>
      </c>
      <c r="B87" s="173" t="s">
        <v>83</v>
      </c>
      <c r="C87" s="173" t="s">
        <v>286</v>
      </c>
      <c r="D87" s="173" t="s">
        <v>265</v>
      </c>
      <c r="E87" s="173" t="s">
        <v>19</v>
      </c>
      <c r="F87" s="174">
        <v>2</v>
      </c>
      <c r="G87" s="175">
        <v>24.844999999999999</v>
      </c>
      <c r="H87" s="176">
        <v>51677.599999999999</v>
      </c>
      <c r="I87" s="177">
        <v>40</v>
      </c>
      <c r="J87" s="178">
        <v>43101</v>
      </c>
      <c r="K87" s="174">
        <v>4</v>
      </c>
      <c r="L87" s="173" t="s">
        <v>19</v>
      </c>
      <c r="M87" s="174">
        <v>205</v>
      </c>
      <c r="N87" s="173" t="s">
        <v>265</v>
      </c>
      <c r="O87" s="175">
        <v>26.431999999999999</v>
      </c>
    </row>
    <row r="88" spans="1:15">
      <c r="A88" s="173" t="s">
        <v>263</v>
      </c>
      <c r="B88" s="173" t="s">
        <v>83</v>
      </c>
      <c r="C88" s="173" t="s">
        <v>286</v>
      </c>
      <c r="D88" s="173" t="s">
        <v>265</v>
      </c>
      <c r="E88" s="173" t="s">
        <v>19</v>
      </c>
      <c r="F88" s="174">
        <v>3</v>
      </c>
      <c r="G88" s="175">
        <v>25.626999999999999</v>
      </c>
      <c r="H88" s="176">
        <v>53304.160000000003</v>
      </c>
      <c r="I88" s="177">
        <v>40</v>
      </c>
      <c r="J88" s="178">
        <v>43101</v>
      </c>
      <c r="K88" s="174">
        <v>4</v>
      </c>
      <c r="L88" s="173" t="s">
        <v>19</v>
      </c>
      <c r="M88" s="174">
        <v>205</v>
      </c>
      <c r="N88" s="173" t="s">
        <v>265</v>
      </c>
      <c r="O88" s="175">
        <v>26.431999999999999</v>
      </c>
    </row>
    <row r="89" spans="1:15">
      <c r="A89" s="173" t="s">
        <v>263</v>
      </c>
      <c r="B89" s="173" t="s">
        <v>83</v>
      </c>
      <c r="C89" s="173" t="s">
        <v>286</v>
      </c>
      <c r="D89" s="173" t="s">
        <v>265</v>
      </c>
      <c r="E89" s="173" t="s">
        <v>19</v>
      </c>
      <c r="F89" s="174">
        <v>4</v>
      </c>
      <c r="G89" s="175">
        <v>26.431999999999999</v>
      </c>
      <c r="H89" s="176">
        <v>54978.559999999998</v>
      </c>
      <c r="I89" s="177">
        <v>40</v>
      </c>
      <c r="J89" s="178">
        <v>43101</v>
      </c>
      <c r="K89" s="174">
        <v>4</v>
      </c>
      <c r="L89" s="173" t="s">
        <v>19</v>
      </c>
      <c r="M89" s="174">
        <v>205</v>
      </c>
      <c r="N89" s="173" t="s">
        <v>265</v>
      </c>
      <c r="O89" s="175">
        <v>26.431999999999999</v>
      </c>
    </row>
    <row r="90" spans="1:15">
      <c r="A90" s="173" t="s">
        <v>263</v>
      </c>
      <c r="B90" s="173" t="s">
        <v>83</v>
      </c>
      <c r="C90" s="173" t="s">
        <v>286</v>
      </c>
      <c r="D90" s="173" t="s">
        <v>265</v>
      </c>
      <c r="E90" s="173" t="s">
        <v>19</v>
      </c>
      <c r="F90" s="174">
        <v>11</v>
      </c>
      <c r="G90" s="175">
        <v>23.12</v>
      </c>
      <c r="H90" s="176">
        <v>48089.599999999999</v>
      </c>
      <c r="I90" s="177">
        <v>40</v>
      </c>
      <c r="J90" s="178">
        <v>43101</v>
      </c>
      <c r="K90" s="174">
        <v>4</v>
      </c>
      <c r="L90" s="173" t="s">
        <v>19</v>
      </c>
      <c r="M90" s="174">
        <v>205</v>
      </c>
      <c r="N90" s="173" t="s">
        <v>265</v>
      </c>
      <c r="O90" s="175">
        <v>26.431999999999999</v>
      </c>
    </row>
    <row r="91" spans="1:15">
      <c r="A91" s="173" t="s">
        <v>263</v>
      </c>
      <c r="B91" s="173" t="s">
        <v>86</v>
      </c>
      <c r="C91" s="173" t="s">
        <v>287</v>
      </c>
      <c r="D91" s="173" t="s">
        <v>265</v>
      </c>
      <c r="E91" s="173" t="s">
        <v>19</v>
      </c>
      <c r="F91" s="174">
        <v>1</v>
      </c>
      <c r="G91" s="175">
        <v>24.085999999999999</v>
      </c>
      <c r="H91" s="176">
        <v>50098.879999999997</v>
      </c>
      <c r="I91" s="177">
        <v>40</v>
      </c>
      <c r="J91" s="178">
        <v>43101</v>
      </c>
      <c r="K91" s="174">
        <v>4</v>
      </c>
      <c r="L91" s="173" t="s">
        <v>19</v>
      </c>
      <c r="M91" s="174">
        <v>205</v>
      </c>
      <c r="N91" s="173" t="s">
        <v>265</v>
      </c>
      <c r="O91" s="175">
        <v>26.431999999999999</v>
      </c>
    </row>
    <row r="92" spans="1:15">
      <c r="A92" s="173" t="s">
        <v>263</v>
      </c>
      <c r="B92" s="173" t="s">
        <v>86</v>
      </c>
      <c r="C92" s="173" t="s">
        <v>287</v>
      </c>
      <c r="D92" s="173" t="s">
        <v>265</v>
      </c>
      <c r="E92" s="173" t="s">
        <v>19</v>
      </c>
      <c r="F92" s="174">
        <v>2</v>
      </c>
      <c r="G92" s="175">
        <v>24.844999999999999</v>
      </c>
      <c r="H92" s="176">
        <v>51677.599999999999</v>
      </c>
      <c r="I92" s="177">
        <v>40</v>
      </c>
      <c r="J92" s="178">
        <v>43101</v>
      </c>
      <c r="K92" s="174">
        <v>4</v>
      </c>
      <c r="L92" s="173" t="s">
        <v>19</v>
      </c>
      <c r="M92" s="174">
        <v>205</v>
      </c>
      <c r="N92" s="173" t="s">
        <v>265</v>
      </c>
      <c r="O92" s="175">
        <v>26.431999999999999</v>
      </c>
    </row>
    <row r="93" spans="1:15">
      <c r="A93" s="173" t="s">
        <v>263</v>
      </c>
      <c r="B93" s="173" t="s">
        <v>86</v>
      </c>
      <c r="C93" s="173" t="s">
        <v>287</v>
      </c>
      <c r="D93" s="173" t="s">
        <v>265</v>
      </c>
      <c r="E93" s="173" t="s">
        <v>19</v>
      </c>
      <c r="F93" s="174">
        <v>3</v>
      </c>
      <c r="G93" s="175">
        <v>25.626999999999999</v>
      </c>
      <c r="H93" s="176">
        <v>53304.160000000003</v>
      </c>
      <c r="I93" s="177">
        <v>40</v>
      </c>
      <c r="J93" s="178">
        <v>43101</v>
      </c>
      <c r="K93" s="174">
        <v>4</v>
      </c>
      <c r="L93" s="173" t="s">
        <v>19</v>
      </c>
      <c r="M93" s="174">
        <v>205</v>
      </c>
      <c r="N93" s="173" t="s">
        <v>265</v>
      </c>
      <c r="O93" s="175">
        <v>26.431999999999999</v>
      </c>
    </row>
    <row r="94" spans="1:15">
      <c r="A94" s="173" t="s">
        <v>263</v>
      </c>
      <c r="B94" s="173" t="s">
        <v>86</v>
      </c>
      <c r="C94" s="173" t="s">
        <v>287</v>
      </c>
      <c r="D94" s="173" t="s">
        <v>265</v>
      </c>
      <c r="E94" s="173" t="s">
        <v>19</v>
      </c>
      <c r="F94" s="174">
        <v>4</v>
      </c>
      <c r="G94" s="175">
        <v>26.431999999999999</v>
      </c>
      <c r="H94" s="176">
        <v>54978.559999999998</v>
      </c>
      <c r="I94" s="177">
        <v>40</v>
      </c>
      <c r="J94" s="178">
        <v>43101</v>
      </c>
      <c r="K94" s="174">
        <v>4</v>
      </c>
      <c r="L94" s="173" t="s">
        <v>19</v>
      </c>
      <c r="M94" s="174">
        <v>205</v>
      </c>
      <c r="N94" s="173" t="s">
        <v>265</v>
      </c>
      <c r="O94" s="175">
        <v>26.431999999999999</v>
      </c>
    </row>
    <row r="95" spans="1:15">
      <c r="A95" s="173" t="s">
        <v>263</v>
      </c>
      <c r="B95" s="173" t="s">
        <v>86</v>
      </c>
      <c r="C95" s="173" t="s">
        <v>287</v>
      </c>
      <c r="D95" s="173" t="s">
        <v>265</v>
      </c>
      <c r="E95" s="173" t="s">
        <v>19</v>
      </c>
      <c r="F95" s="174">
        <v>11</v>
      </c>
      <c r="G95" s="175">
        <v>23.12</v>
      </c>
      <c r="H95" s="176">
        <v>48089.599999999999</v>
      </c>
      <c r="I95" s="177">
        <v>40</v>
      </c>
      <c r="J95" s="178">
        <v>43101</v>
      </c>
      <c r="K95" s="174">
        <v>4</v>
      </c>
      <c r="L95" s="173" t="s">
        <v>19</v>
      </c>
      <c r="M95" s="174">
        <v>205</v>
      </c>
      <c r="N95" s="173" t="s">
        <v>265</v>
      </c>
      <c r="O95" s="175">
        <v>26.431999999999999</v>
      </c>
    </row>
    <row r="96" spans="1:15">
      <c r="A96" s="173" t="s">
        <v>263</v>
      </c>
      <c r="B96" s="173" t="s">
        <v>77</v>
      </c>
      <c r="C96" s="173" t="s">
        <v>288</v>
      </c>
      <c r="D96" s="173" t="s">
        <v>265</v>
      </c>
      <c r="E96" s="173" t="s">
        <v>76</v>
      </c>
      <c r="F96" s="174">
        <v>1</v>
      </c>
      <c r="G96" s="175">
        <v>26.98</v>
      </c>
      <c r="H96" s="176">
        <v>56118.400000000001</v>
      </c>
      <c r="I96" s="177">
        <v>40</v>
      </c>
      <c r="J96" s="178">
        <v>43101</v>
      </c>
      <c r="K96" s="174">
        <v>4</v>
      </c>
      <c r="L96" s="173" t="s">
        <v>76</v>
      </c>
      <c r="M96" s="174">
        <v>205</v>
      </c>
      <c r="N96" s="173" t="s">
        <v>265</v>
      </c>
      <c r="O96" s="175">
        <v>26.98</v>
      </c>
    </row>
    <row r="97" spans="1:15">
      <c r="A97" s="173" t="s">
        <v>263</v>
      </c>
      <c r="B97" s="173" t="s">
        <v>77</v>
      </c>
      <c r="C97" s="173" t="s">
        <v>288</v>
      </c>
      <c r="D97" s="173" t="s">
        <v>265</v>
      </c>
      <c r="E97" s="173" t="s">
        <v>76</v>
      </c>
      <c r="F97" s="174">
        <v>11</v>
      </c>
      <c r="G97" s="175">
        <v>25.898</v>
      </c>
      <c r="H97" s="176">
        <v>53867.839999999997</v>
      </c>
      <c r="I97" s="177">
        <v>40</v>
      </c>
      <c r="J97" s="178">
        <v>43101</v>
      </c>
      <c r="K97" s="174">
        <v>4</v>
      </c>
      <c r="L97" s="173" t="s">
        <v>76</v>
      </c>
      <c r="M97" s="174">
        <v>205</v>
      </c>
      <c r="N97" s="173" t="s">
        <v>265</v>
      </c>
      <c r="O97" s="175">
        <v>26.98</v>
      </c>
    </row>
    <row r="98" spans="1:15">
      <c r="A98" s="173" t="s">
        <v>263</v>
      </c>
      <c r="B98" s="173" t="s">
        <v>93</v>
      </c>
      <c r="C98" s="173" t="s">
        <v>289</v>
      </c>
      <c r="D98" s="173" t="s">
        <v>265</v>
      </c>
      <c r="E98" s="173" t="s">
        <v>19</v>
      </c>
      <c r="F98" s="174">
        <v>1</v>
      </c>
      <c r="G98" s="175">
        <v>24.085999999999999</v>
      </c>
      <c r="H98" s="176">
        <v>50098.879999999997</v>
      </c>
      <c r="I98" s="177">
        <v>40</v>
      </c>
      <c r="J98" s="178">
        <v>43101</v>
      </c>
      <c r="K98" s="174">
        <v>4</v>
      </c>
      <c r="L98" s="173" t="s">
        <v>19</v>
      </c>
      <c r="M98" s="174">
        <v>205</v>
      </c>
      <c r="N98" s="173" t="s">
        <v>265</v>
      </c>
      <c r="O98" s="175">
        <v>26.431999999999999</v>
      </c>
    </row>
    <row r="99" spans="1:15">
      <c r="A99" s="173" t="s">
        <v>263</v>
      </c>
      <c r="B99" s="173" t="s">
        <v>93</v>
      </c>
      <c r="C99" s="173" t="s">
        <v>289</v>
      </c>
      <c r="D99" s="173" t="s">
        <v>265</v>
      </c>
      <c r="E99" s="173" t="s">
        <v>19</v>
      </c>
      <c r="F99" s="174">
        <v>2</v>
      </c>
      <c r="G99" s="175">
        <v>24.844999999999999</v>
      </c>
      <c r="H99" s="176">
        <v>51677.599999999999</v>
      </c>
      <c r="I99" s="177">
        <v>40</v>
      </c>
      <c r="J99" s="178">
        <v>43101</v>
      </c>
      <c r="K99" s="174">
        <v>4</v>
      </c>
      <c r="L99" s="173" t="s">
        <v>19</v>
      </c>
      <c r="M99" s="174">
        <v>205</v>
      </c>
      <c r="N99" s="173" t="s">
        <v>265</v>
      </c>
      <c r="O99" s="175">
        <v>26.431999999999999</v>
      </c>
    </row>
    <row r="100" spans="1:15">
      <c r="A100" s="173" t="s">
        <v>263</v>
      </c>
      <c r="B100" s="173" t="s">
        <v>93</v>
      </c>
      <c r="C100" s="173" t="s">
        <v>289</v>
      </c>
      <c r="D100" s="173" t="s">
        <v>265</v>
      </c>
      <c r="E100" s="173" t="s">
        <v>19</v>
      </c>
      <c r="F100" s="174">
        <v>3</v>
      </c>
      <c r="G100" s="175">
        <v>25.626999999999999</v>
      </c>
      <c r="H100" s="176">
        <v>53304.160000000003</v>
      </c>
      <c r="I100" s="177">
        <v>40</v>
      </c>
      <c r="J100" s="178">
        <v>43101</v>
      </c>
      <c r="K100" s="174">
        <v>4</v>
      </c>
      <c r="L100" s="173" t="s">
        <v>19</v>
      </c>
      <c r="M100" s="174">
        <v>205</v>
      </c>
      <c r="N100" s="173" t="s">
        <v>265</v>
      </c>
      <c r="O100" s="175">
        <v>26.431999999999999</v>
      </c>
    </row>
    <row r="101" spans="1:15">
      <c r="A101" s="173" t="s">
        <v>263</v>
      </c>
      <c r="B101" s="173" t="s">
        <v>93</v>
      </c>
      <c r="C101" s="173" t="s">
        <v>289</v>
      </c>
      <c r="D101" s="173" t="s">
        <v>265</v>
      </c>
      <c r="E101" s="173" t="s">
        <v>19</v>
      </c>
      <c r="F101" s="174">
        <v>4</v>
      </c>
      <c r="G101" s="175">
        <v>26.431999999999999</v>
      </c>
      <c r="H101" s="176">
        <v>54978.559999999998</v>
      </c>
      <c r="I101" s="177">
        <v>40</v>
      </c>
      <c r="J101" s="178">
        <v>43101</v>
      </c>
      <c r="K101" s="174">
        <v>4</v>
      </c>
      <c r="L101" s="173" t="s">
        <v>19</v>
      </c>
      <c r="M101" s="174">
        <v>205</v>
      </c>
      <c r="N101" s="173" t="s">
        <v>265</v>
      </c>
      <c r="O101" s="175">
        <v>26.431999999999999</v>
      </c>
    </row>
    <row r="102" spans="1:15">
      <c r="A102" s="173" t="s">
        <v>263</v>
      </c>
      <c r="B102" s="173" t="s">
        <v>93</v>
      </c>
      <c r="C102" s="173" t="s">
        <v>289</v>
      </c>
      <c r="D102" s="173" t="s">
        <v>265</v>
      </c>
      <c r="E102" s="173" t="s">
        <v>19</v>
      </c>
      <c r="F102" s="174">
        <v>11</v>
      </c>
      <c r="G102" s="175">
        <v>23.12</v>
      </c>
      <c r="H102" s="176">
        <v>48089.599999999999</v>
      </c>
      <c r="I102" s="177">
        <v>40</v>
      </c>
      <c r="J102" s="178">
        <v>43101</v>
      </c>
      <c r="K102" s="174">
        <v>4</v>
      </c>
      <c r="L102" s="173" t="s">
        <v>19</v>
      </c>
      <c r="M102" s="174">
        <v>205</v>
      </c>
      <c r="N102" s="173" t="s">
        <v>265</v>
      </c>
      <c r="O102" s="175">
        <v>26.431999999999999</v>
      </c>
    </row>
    <row r="103" spans="1:15">
      <c r="A103" s="173" t="s">
        <v>263</v>
      </c>
      <c r="B103" s="173" t="s">
        <v>96</v>
      </c>
      <c r="C103" s="173" t="s">
        <v>290</v>
      </c>
      <c r="D103" s="173" t="s">
        <v>265</v>
      </c>
      <c r="E103" s="173" t="s">
        <v>19</v>
      </c>
      <c r="F103" s="174">
        <v>1</v>
      </c>
      <c r="G103" s="175">
        <v>24.085999999999999</v>
      </c>
      <c r="H103" s="176">
        <v>50098.879999999997</v>
      </c>
      <c r="I103" s="177">
        <v>40</v>
      </c>
      <c r="J103" s="178">
        <v>43101</v>
      </c>
      <c r="K103" s="174">
        <v>4</v>
      </c>
      <c r="L103" s="173" t="s">
        <v>19</v>
      </c>
      <c r="M103" s="174">
        <v>205</v>
      </c>
      <c r="N103" s="173" t="s">
        <v>265</v>
      </c>
      <c r="O103" s="175">
        <v>26.431999999999999</v>
      </c>
    </row>
    <row r="104" spans="1:15">
      <c r="A104" s="173" t="s">
        <v>263</v>
      </c>
      <c r="B104" s="173" t="s">
        <v>96</v>
      </c>
      <c r="C104" s="173" t="s">
        <v>290</v>
      </c>
      <c r="D104" s="173" t="s">
        <v>265</v>
      </c>
      <c r="E104" s="173" t="s">
        <v>19</v>
      </c>
      <c r="F104" s="174">
        <v>2</v>
      </c>
      <c r="G104" s="175">
        <v>24.844999999999999</v>
      </c>
      <c r="H104" s="176">
        <v>51677.599999999999</v>
      </c>
      <c r="I104" s="177">
        <v>40</v>
      </c>
      <c r="J104" s="178">
        <v>43101</v>
      </c>
      <c r="K104" s="174">
        <v>4</v>
      </c>
      <c r="L104" s="173" t="s">
        <v>19</v>
      </c>
      <c r="M104" s="174">
        <v>205</v>
      </c>
      <c r="N104" s="173" t="s">
        <v>265</v>
      </c>
      <c r="O104" s="175">
        <v>26.431999999999999</v>
      </c>
    </row>
    <row r="105" spans="1:15">
      <c r="A105" s="173" t="s">
        <v>263</v>
      </c>
      <c r="B105" s="173" t="s">
        <v>96</v>
      </c>
      <c r="C105" s="173" t="s">
        <v>290</v>
      </c>
      <c r="D105" s="173" t="s">
        <v>265</v>
      </c>
      <c r="E105" s="173" t="s">
        <v>19</v>
      </c>
      <c r="F105" s="174">
        <v>3</v>
      </c>
      <c r="G105" s="175">
        <v>25.626999999999999</v>
      </c>
      <c r="H105" s="176">
        <v>53304.160000000003</v>
      </c>
      <c r="I105" s="177">
        <v>40</v>
      </c>
      <c r="J105" s="178">
        <v>43101</v>
      </c>
      <c r="K105" s="174">
        <v>4</v>
      </c>
      <c r="L105" s="173" t="s">
        <v>19</v>
      </c>
      <c r="M105" s="174">
        <v>205</v>
      </c>
      <c r="N105" s="173" t="s">
        <v>265</v>
      </c>
      <c r="O105" s="175">
        <v>26.431999999999999</v>
      </c>
    </row>
    <row r="106" spans="1:15">
      <c r="A106" s="173" t="s">
        <v>263</v>
      </c>
      <c r="B106" s="173" t="s">
        <v>96</v>
      </c>
      <c r="C106" s="173" t="s">
        <v>290</v>
      </c>
      <c r="D106" s="173" t="s">
        <v>265</v>
      </c>
      <c r="E106" s="173" t="s">
        <v>19</v>
      </c>
      <c r="F106" s="174">
        <v>4</v>
      </c>
      <c r="G106" s="175">
        <v>26.431999999999999</v>
      </c>
      <c r="H106" s="176">
        <v>54978.559999999998</v>
      </c>
      <c r="I106" s="177">
        <v>40</v>
      </c>
      <c r="J106" s="178">
        <v>43101</v>
      </c>
      <c r="K106" s="174">
        <v>4</v>
      </c>
      <c r="L106" s="173" t="s">
        <v>19</v>
      </c>
      <c r="M106" s="174">
        <v>205</v>
      </c>
      <c r="N106" s="173" t="s">
        <v>265</v>
      </c>
      <c r="O106" s="175">
        <v>26.431999999999999</v>
      </c>
    </row>
    <row r="107" spans="1:15">
      <c r="A107" s="173" t="s">
        <v>263</v>
      </c>
      <c r="B107" s="173" t="s">
        <v>96</v>
      </c>
      <c r="C107" s="173" t="s">
        <v>290</v>
      </c>
      <c r="D107" s="173" t="s">
        <v>265</v>
      </c>
      <c r="E107" s="173" t="s">
        <v>19</v>
      </c>
      <c r="F107" s="174">
        <v>11</v>
      </c>
      <c r="G107" s="175">
        <v>23.12</v>
      </c>
      <c r="H107" s="176">
        <v>48089.599999999999</v>
      </c>
      <c r="I107" s="177">
        <v>40</v>
      </c>
      <c r="J107" s="178">
        <v>43101</v>
      </c>
      <c r="K107" s="174">
        <v>4</v>
      </c>
      <c r="L107" s="173" t="s">
        <v>19</v>
      </c>
      <c r="M107" s="174">
        <v>205</v>
      </c>
      <c r="N107" s="173" t="s">
        <v>265</v>
      </c>
      <c r="O107" s="175">
        <v>26.431999999999999</v>
      </c>
    </row>
    <row r="108" spans="1:15">
      <c r="A108" s="173" t="s">
        <v>263</v>
      </c>
      <c r="B108" s="173" t="s">
        <v>99</v>
      </c>
      <c r="C108" s="173" t="s">
        <v>291</v>
      </c>
      <c r="D108" s="173" t="s">
        <v>265</v>
      </c>
      <c r="E108" s="173" t="s">
        <v>19</v>
      </c>
      <c r="F108" s="174">
        <v>1</v>
      </c>
      <c r="G108" s="175">
        <v>24.085999999999999</v>
      </c>
      <c r="H108" s="176">
        <v>50098.879999999997</v>
      </c>
      <c r="I108" s="177">
        <v>40</v>
      </c>
      <c r="J108" s="178">
        <v>43101</v>
      </c>
      <c r="K108" s="174">
        <v>4</v>
      </c>
      <c r="L108" s="173" t="s">
        <v>19</v>
      </c>
      <c r="M108" s="174">
        <v>205</v>
      </c>
      <c r="N108" s="173" t="s">
        <v>265</v>
      </c>
      <c r="O108" s="175">
        <v>26.431999999999999</v>
      </c>
    </row>
    <row r="109" spans="1:15">
      <c r="A109" s="173" t="s">
        <v>263</v>
      </c>
      <c r="B109" s="173" t="s">
        <v>99</v>
      </c>
      <c r="C109" s="173" t="s">
        <v>291</v>
      </c>
      <c r="D109" s="173" t="s">
        <v>265</v>
      </c>
      <c r="E109" s="173" t="s">
        <v>19</v>
      </c>
      <c r="F109" s="174">
        <v>2</v>
      </c>
      <c r="G109" s="175">
        <v>24.844999999999999</v>
      </c>
      <c r="H109" s="176">
        <v>51677.599999999999</v>
      </c>
      <c r="I109" s="177">
        <v>40</v>
      </c>
      <c r="J109" s="178">
        <v>43101</v>
      </c>
      <c r="K109" s="174">
        <v>4</v>
      </c>
      <c r="L109" s="173" t="s">
        <v>19</v>
      </c>
      <c r="M109" s="174">
        <v>205</v>
      </c>
      <c r="N109" s="173" t="s">
        <v>265</v>
      </c>
      <c r="O109" s="175">
        <v>26.431999999999999</v>
      </c>
    </row>
    <row r="110" spans="1:15">
      <c r="A110" s="173" t="s">
        <v>263</v>
      </c>
      <c r="B110" s="173" t="s">
        <v>99</v>
      </c>
      <c r="C110" s="173" t="s">
        <v>291</v>
      </c>
      <c r="D110" s="173" t="s">
        <v>265</v>
      </c>
      <c r="E110" s="173" t="s">
        <v>19</v>
      </c>
      <c r="F110" s="174">
        <v>3</v>
      </c>
      <c r="G110" s="175">
        <v>25.626999999999999</v>
      </c>
      <c r="H110" s="176">
        <v>53304.160000000003</v>
      </c>
      <c r="I110" s="177">
        <v>40</v>
      </c>
      <c r="J110" s="178">
        <v>43101</v>
      </c>
      <c r="K110" s="174">
        <v>4</v>
      </c>
      <c r="L110" s="173" t="s">
        <v>19</v>
      </c>
      <c r="M110" s="174">
        <v>205</v>
      </c>
      <c r="N110" s="173" t="s">
        <v>265</v>
      </c>
      <c r="O110" s="175">
        <v>26.431999999999999</v>
      </c>
    </row>
    <row r="111" spans="1:15">
      <c r="A111" s="173" t="s">
        <v>263</v>
      </c>
      <c r="B111" s="173" t="s">
        <v>99</v>
      </c>
      <c r="C111" s="173" t="s">
        <v>291</v>
      </c>
      <c r="D111" s="173" t="s">
        <v>265</v>
      </c>
      <c r="E111" s="173" t="s">
        <v>19</v>
      </c>
      <c r="F111" s="174">
        <v>4</v>
      </c>
      <c r="G111" s="175">
        <v>26.431999999999999</v>
      </c>
      <c r="H111" s="176">
        <v>54978.559999999998</v>
      </c>
      <c r="I111" s="177">
        <v>40</v>
      </c>
      <c r="J111" s="178">
        <v>43101</v>
      </c>
      <c r="K111" s="174">
        <v>4</v>
      </c>
      <c r="L111" s="173" t="s">
        <v>19</v>
      </c>
      <c r="M111" s="174">
        <v>205</v>
      </c>
      <c r="N111" s="173" t="s">
        <v>265</v>
      </c>
      <c r="O111" s="175">
        <v>26.431999999999999</v>
      </c>
    </row>
    <row r="112" spans="1:15">
      <c r="A112" s="173" t="s">
        <v>263</v>
      </c>
      <c r="B112" s="173" t="s">
        <v>99</v>
      </c>
      <c r="C112" s="173" t="s">
        <v>291</v>
      </c>
      <c r="D112" s="173" t="s">
        <v>265</v>
      </c>
      <c r="E112" s="173" t="s">
        <v>19</v>
      </c>
      <c r="F112" s="174">
        <v>11</v>
      </c>
      <c r="G112" s="175">
        <v>23.12</v>
      </c>
      <c r="H112" s="176">
        <v>48089.599999999999</v>
      </c>
      <c r="I112" s="177">
        <v>40</v>
      </c>
      <c r="J112" s="178">
        <v>43101</v>
      </c>
      <c r="K112" s="174">
        <v>4</v>
      </c>
      <c r="L112" s="173" t="s">
        <v>19</v>
      </c>
      <c r="M112" s="174">
        <v>205</v>
      </c>
      <c r="N112" s="173" t="s">
        <v>265</v>
      </c>
      <c r="O112" s="175">
        <v>26.431999999999999</v>
      </c>
    </row>
    <row r="113" spans="1:15">
      <c r="A113" s="173" t="s">
        <v>263</v>
      </c>
      <c r="B113" s="173" t="s">
        <v>90</v>
      </c>
      <c r="C113" s="173" t="s">
        <v>292</v>
      </c>
      <c r="D113" s="173" t="s">
        <v>265</v>
      </c>
      <c r="E113" s="173" t="s">
        <v>88</v>
      </c>
      <c r="F113" s="174">
        <v>1</v>
      </c>
      <c r="G113" s="175">
        <v>27.253</v>
      </c>
      <c r="H113" s="176">
        <v>56686.239999999998</v>
      </c>
      <c r="I113" s="177">
        <v>40</v>
      </c>
      <c r="J113" s="178">
        <v>43101</v>
      </c>
      <c r="K113" s="174">
        <v>4</v>
      </c>
      <c r="L113" s="173" t="s">
        <v>88</v>
      </c>
      <c r="M113" s="174">
        <v>205</v>
      </c>
      <c r="N113" s="173" t="s">
        <v>265</v>
      </c>
      <c r="O113" s="175">
        <v>27.253</v>
      </c>
    </row>
    <row r="114" spans="1:15">
      <c r="A114" s="173" t="s">
        <v>263</v>
      </c>
      <c r="B114" s="173" t="s">
        <v>90</v>
      </c>
      <c r="C114" s="173" t="s">
        <v>292</v>
      </c>
      <c r="D114" s="173" t="s">
        <v>265</v>
      </c>
      <c r="E114" s="173" t="s">
        <v>88</v>
      </c>
      <c r="F114" s="174">
        <v>11</v>
      </c>
      <c r="G114" s="175">
        <v>26.16</v>
      </c>
      <c r="H114" s="176">
        <v>54412.800000000003</v>
      </c>
      <c r="I114" s="177">
        <v>40</v>
      </c>
      <c r="J114" s="178">
        <v>43101</v>
      </c>
      <c r="K114" s="174">
        <v>4</v>
      </c>
      <c r="L114" s="173" t="s">
        <v>88</v>
      </c>
      <c r="M114" s="174">
        <v>205</v>
      </c>
      <c r="N114" s="173" t="s">
        <v>265</v>
      </c>
      <c r="O114" s="175">
        <v>27.253</v>
      </c>
    </row>
    <row r="115" spans="1:15">
      <c r="A115" s="173" t="s">
        <v>263</v>
      </c>
      <c r="B115" s="173" t="s">
        <v>101</v>
      </c>
      <c r="C115" s="173" t="s">
        <v>293</v>
      </c>
      <c r="D115" s="173" t="s">
        <v>265</v>
      </c>
      <c r="E115" s="173" t="s">
        <v>89</v>
      </c>
      <c r="F115" s="174">
        <v>1</v>
      </c>
      <c r="G115" s="175">
        <v>27.253</v>
      </c>
      <c r="H115" s="176">
        <v>56686.239999999998</v>
      </c>
      <c r="I115" s="177">
        <v>40</v>
      </c>
      <c r="J115" s="178">
        <v>43101</v>
      </c>
      <c r="K115" s="174">
        <v>6</v>
      </c>
      <c r="L115" s="173" t="s">
        <v>89</v>
      </c>
      <c r="M115" s="174">
        <v>273</v>
      </c>
      <c r="N115" s="173" t="s">
        <v>265</v>
      </c>
      <c r="O115" s="175">
        <v>27.253</v>
      </c>
    </row>
    <row r="116" spans="1:15">
      <c r="A116" s="173" t="s">
        <v>263</v>
      </c>
      <c r="B116" s="173" t="s">
        <v>101</v>
      </c>
      <c r="C116" s="173" t="s">
        <v>293</v>
      </c>
      <c r="D116" s="173" t="s">
        <v>265</v>
      </c>
      <c r="E116" s="173" t="s">
        <v>89</v>
      </c>
      <c r="F116" s="174">
        <v>11</v>
      </c>
      <c r="G116" s="175">
        <v>26.16</v>
      </c>
      <c r="H116" s="176">
        <v>54412.800000000003</v>
      </c>
      <c r="I116" s="177">
        <v>40</v>
      </c>
      <c r="J116" s="178">
        <v>43101</v>
      </c>
      <c r="K116" s="174">
        <v>6</v>
      </c>
      <c r="L116" s="173" t="s">
        <v>89</v>
      </c>
      <c r="M116" s="174">
        <v>273</v>
      </c>
      <c r="N116" s="173" t="s">
        <v>265</v>
      </c>
      <c r="O116" s="175">
        <v>27.253</v>
      </c>
    </row>
    <row r="117" spans="1:15">
      <c r="A117" s="173" t="s">
        <v>263</v>
      </c>
      <c r="B117" s="173" t="s">
        <v>103</v>
      </c>
      <c r="C117" s="173" t="s">
        <v>294</v>
      </c>
      <c r="D117" s="173" t="s">
        <v>265</v>
      </c>
      <c r="E117" s="173" t="s">
        <v>88</v>
      </c>
      <c r="F117" s="174">
        <v>1</v>
      </c>
      <c r="G117" s="175">
        <v>27.253</v>
      </c>
      <c r="H117" s="176">
        <v>56686.239999999998</v>
      </c>
      <c r="I117" s="177">
        <v>40</v>
      </c>
      <c r="J117" s="178">
        <v>43101</v>
      </c>
      <c r="K117" s="174">
        <v>6</v>
      </c>
      <c r="L117" s="173" t="s">
        <v>88</v>
      </c>
      <c r="M117" s="174">
        <v>273</v>
      </c>
      <c r="N117" s="173" t="s">
        <v>265</v>
      </c>
      <c r="O117" s="175">
        <v>27.253</v>
      </c>
    </row>
    <row r="118" spans="1:15">
      <c r="A118" s="173" t="s">
        <v>263</v>
      </c>
      <c r="B118" s="173" t="s">
        <v>103</v>
      </c>
      <c r="C118" s="173" t="s">
        <v>294</v>
      </c>
      <c r="D118" s="173" t="s">
        <v>265</v>
      </c>
      <c r="E118" s="173" t="s">
        <v>88</v>
      </c>
      <c r="F118" s="174">
        <v>11</v>
      </c>
      <c r="G118" s="175">
        <v>26.16</v>
      </c>
      <c r="H118" s="176">
        <v>54412.800000000003</v>
      </c>
      <c r="I118" s="177">
        <v>40</v>
      </c>
      <c r="J118" s="178">
        <v>43101</v>
      </c>
      <c r="K118" s="174">
        <v>6</v>
      </c>
      <c r="L118" s="173" t="s">
        <v>88</v>
      </c>
      <c r="M118" s="174">
        <v>273</v>
      </c>
      <c r="N118" s="173" t="s">
        <v>265</v>
      </c>
      <c r="O118" s="175">
        <v>27.253</v>
      </c>
    </row>
    <row r="119" spans="1:15">
      <c r="A119" s="173" t="s">
        <v>263</v>
      </c>
      <c r="B119" s="173" t="s">
        <v>105</v>
      </c>
      <c r="C119" s="173" t="s">
        <v>295</v>
      </c>
      <c r="D119" s="173" t="s">
        <v>265</v>
      </c>
      <c r="E119" s="173" t="s">
        <v>89</v>
      </c>
      <c r="F119" s="174">
        <v>1</v>
      </c>
      <c r="G119" s="175">
        <v>27.253</v>
      </c>
      <c r="H119" s="176">
        <v>56686.239999999998</v>
      </c>
      <c r="I119" s="177">
        <v>40</v>
      </c>
      <c r="J119" s="178">
        <v>43101</v>
      </c>
      <c r="K119" s="174">
        <v>6</v>
      </c>
      <c r="L119" s="173" t="s">
        <v>89</v>
      </c>
      <c r="M119" s="174">
        <v>273</v>
      </c>
      <c r="N119" s="173" t="s">
        <v>265</v>
      </c>
      <c r="O119" s="175">
        <v>27.253</v>
      </c>
    </row>
    <row r="120" spans="1:15">
      <c r="A120" s="173" t="s">
        <v>263</v>
      </c>
      <c r="B120" s="173" t="s">
        <v>105</v>
      </c>
      <c r="C120" s="173" t="s">
        <v>295</v>
      </c>
      <c r="D120" s="173" t="s">
        <v>265</v>
      </c>
      <c r="E120" s="173" t="s">
        <v>89</v>
      </c>
      <c r="F120" s="174">
        <v>11</v>
      </c>
      <c r="G120" s="175">
        <v>26.16</v>
      </c>
      <c r="H120" s="176">
        <v>54412.800000000003</v>
      </c>
      <c r="I120" s="177">
        <v>40</v>
      </c>
      <c r="J120" s="178">
        <v>43101</v>
      </c>
      <c r="K120" s="174">
        <v>6</v>
      </c>
      <c r="L120" s="173" t="s">
        <v>89</v>
      </c>
      <c r="M120" s="174">
        <v>273</v>
      </c>
      <c r="N120" s="173" t="s">
        <v>265</v>
      </c>
      <c r="O120" s="175">
        <v>27.253</v>
      </c>
    </row>
    <row r="121" spans="1:15">
      <c r="A121" s="173" t="s">
        <v>263</v>
      </c>
      <c r="B121" s="173" t="s">
        <v>107</v>
      </c>
      <c r="C121" s="173" t="s">
        <v>296</v>
      </c>
      <c r="D121" s="173" t="s">
        <v>265</v>
      </c>
      <c r="E121" s="173" t="s">
        <v>89</v>
      </c>
      <c r="F121" s="174">
        <v>1</v>
      </c>
      <c r="G121" s="175">
        <v>27.253</v>
      </c>
      <c r="H121" s="176">
        <v>56686.239999999998</v>
      </c>
      <c r="I121" s="177">
        <v>40</v>
      </c>
      <c r="J121" s="178">
        <v>43101</v>
      </c>
      <c r="K121" s="174">
        <v>6</v>
      </c>
      <c r="L121" s="173" t="s">
        <v>89</v>
      </c>
      <c r="M121" s="174">
        <v>273</v>
      </c>
      <c r="N121" s="173" t="s">
        <v>265</v>
      </c>
      <c r="O121" s="175">
        <v>27.253</v>
      </c>
    </row>
    <row r="122" spans="1:15">
      <c r="A122" s="173" t="s">
        <v>263</v>
      </c>
      <c r="B122" s="173" t="s">
        <v>107</v>
      </c>
      <c r="C122" s="173" t="s">
        <v>296</v>
      </c>
      <c r="D122" s="173" t="s">
        <v>265</v>
      </c>
      <c r="E122" s="173" t="s">
        <v>89</v>
      </c>
      <c r="F122" s="174">
        <v>11</v>
      </c>
      <c r="G122" s="175">
        <v>26.16</v>
      </c>
      <c r="H122" s="176">
        <v>54412.800000000003</v>
      </c>
      <c r="I122" s="177">
        <v>40</v>
      </c>
      <c r="J122" s="178">
        <v>43101</v>
      </c>
      <c r="K122" s="174">
        <v>6</v>
      </c>
      <c r="L122" s="173" t="s">
        <v>89</v>
      </c>
      <c r="M122" s="174">
        <v>273</v>
      </c>
      <c r="N122" s="173" t="s">
        <v>265</v>
      </c>
      <c r="O122" s="175">
        <v>27.253</v>
      </c>
    </row>
    <row r="123" spans="1:15">
      <c r="A123" s="173" t="s">
        <v>263</v>
      </c>
      <c r="B123" s="173" t="s">
        <v>109</v>
      </c>
      <c r="C123" s="173" t="s">
        <v>297</v>
      </c>
      <c r="D123" s="173" t="s">
        <v>265</v>
      </c>
      <c r="E123" s="173" t="s">
        <v>89</v>
      </c>
      <c r="F123" s="174">
        <v>1</v>
      </c>
      <c r="G123" s="175">
        <v>27.253</v>
      </c>
      <c r="H123" s="176">
        <v>56686.239999999998</v>
      </c>
      <c r="I123" s="177">
        <v>40</v>
      </c>
      <c r="J123" s="178">
        <v>43101</v>
      </c>
      <c r="K123" s="174">
        <v>6</v>
      </c>
      <c r="L123" s="173" t="s">
        <v>89</v>
      </c>
      <c r="M123" s="174">
        <v>273</v>
      </c>
      <c r="N123" s="173" t="s">
        <v>265</v>
      </c>
      <c r="O123" s="175">
        <v>27.253</v>
      </c>
    </row>
    <row r="124" spans="1:15">
      <c r="A124" s="173" t="s">
        <v>263</v>
      </c>
      <c r="B124" s="173" t="s">
        <v>109</v>
      </c>
      <c r="C124" s="173" t="s">
        <v>297</v>
      </c>
      <c r="D124" s="173" t="s">
        <v>265</v>
      </c>
      <c r="E124" s="173" t="s">
        <v>89</v>
      </c>
      <c r="F124" s="174">
        <v>11</v>
      </c>
      <c r="G124" s="175">
        <v>26.16</v>
      </c>
      <c r="H124" s="176">
        <v>54412.800000000003</v>
      </c>
      <c r="I124" s="177">
        <v>40</v>
      </c>
      <c r="J124" s="178">
        <v>43101</v>
      </c>
      <c r="K124" s="174">
        <v>6</v>
      </c>
      <c r="L124" s="173" t="s">
        <v>89</v>
      </c>
      <c r="M124" s="174">
        <v>273</v>
      </c>
      <c r="N124" s="173" t="s">
        <v>265</v>
      </c>
      <c r="O124" s="175">
        <v>27.253</v>
      </c>
    </row>
    <row r="125" spans="1:15">
      <c r="A125" s="173" t="s">
        <v>263</v>
      </c>
      <c r="B125" s="173" t="s">
        <v>112</v>
      </c>
      <c r="C125" s="173" t="s">
        <v>298</v>
      </c>
      <c r="D125" s="173" t="s">
        <v>265</v>
      </c>
      <c r="E125" s="173" t="s">
        <v>111</v>
      </c>
      <c r="F125" s="174">
        <v>1</v>
      </c>
      <c r="G125" s="175">
        <v>25.847999999999999</v>
      </c>
      <c r="H125" s="176">
        <v>53763.839999999997</v>
      </c>
      <c r="I125" s="177">
        <v>40</v>
      </c>
      <c r="J125" s="178">
        <v>43101</v>
      </c>
      <c r="K125" s="174">
        <v>5</v>
      </c>
      <c r="L125" s="173" t="s">
        <v>111</v>
      </c>
      <c r="M125" s="174">
        <v>238</v>
      </c>
      <c r="N125" s="173" t="s">
        <v>265</v>
      </c>
      <c r="O125" s="175">
        <v>25.847999999999999</v>
      </c>
    </row>
    <row r="126" spans="1:15">
      <c r="A126" s="173" t="s">
        <v>263</v>
      </c>
      <c r="B126" s="173" t="s">
        <v>112</v>
      </c>
      <c r="C126" s="173" t="s">
        <v>298</v>
      </c>
      <c r="D126" s="173" t="s">
        <v>265</v>
      </c>
      <c r="E126" s="173" t="s">
        <v>111</v>
      </c>
      <c r="F126" s="174">
        <v>11</v>
      </c>
      <c r="G126" s="175">
        <v>24.815999999999999</v>
      </c>
      <c r="H126" s="176">
        <v>51617.279999999999</v>
      </c>
      <c r="I126" s="177">
        <v>40</v>
      </c>
      <c r="J126" s="178">
        <v>43101</v>
      </c>
      <c r="K126" s="174">
        <v>5</v>
      </c>
      <c r="L126" s="173" t="s">
        <v>111</v>
      </c>
      <c r="M126" s="174">
        <v>238</v>
      </c>
      <c r="N126" s="173" t="s">
        <v>265</v>
      </c>
      <c r="O126" s="175">
        <v>25.847999999999999</v>
      </c>
    </row>
    <row r="127" spans="1:15">
      <c r="A127" s="173" t="s">
        <v>263</v>
      </c>
      <c r="B127" s="173" t="s">
        <v>115</v>
      </c>
      <c r="C127" s="173" t="s">
        <v>299</v>
      </c>
      <c r="D127" s="173" t="s">
        <v>265</v>
      </c>
      <c r="E127" s="173" t="s">
        <v>114</v>
      </c>
      <c r="F127" s="174">
        <v>1</v>
      </c>
      <c r="G127" s="175">
        <v>24.704999999999998</v>
      </c>
      <c r="H127" s="176">
        <v>51386.400000000001</v>
      </c>
      <c r="I127" s="177">
        <v>40</v>
      </c>
      <c r="J127" s="178">
        <v>43101</v>
      </c>
      <c r="K127" s="174">
        <v>4</v>
      </c>
      <c r="L127" s="173" t="s">
        <v>114</v>
      </c>
      <c r="M127" s="174">
        <v>215</v>
      </c>
      <c r="N127" s="173" t="s">
        <v>265</v>
      </c>
      <c r="O127" s="175">
        <v>24.704999999999998</v>
      </c>
    </row>
    <row r="128" spans="1:15">
      <c r="A128" s="173" t="s">
        <v>263</v>
      </c>
      <c r="B128" s="173" t="s">
        <v>115</v>
      </c>
      <c r="C128" s="173" t="s">
        <v>299</v>
      </c>
      <c r="D128" s="173" t="s">
        <v>265</v>
      </c>
      <c r="E128" s="173" t="s">
        <v>114</v>
      </c>
      <c r="F128" s="174">
        <v>11</v>
      </c>
      <c r="G128" s="175">
        <v>23.713999999999999</v>
      </c>
      <c r="H128" s="176">
        <v>49325.120000000003</v>
      </c>
      <c r="I128" s="177">
        <v>40</v>
      </c>
      <c r="J128" s="178">
        <v>43101</v>
      </c>
      <c r="K128" s="174">
        <v>4</v>
      </c>
      <c r="L128" s="173" t="s">
        <v>114</v>
      </c>
      <c r="M128" s="174">
        <v>215</v>
      </c>
      <c r="N128" s="173" t="s">
        <v>265</v>
      </c>
      <c r="O128" s="175">
        <v>24.704999999999998</v>
      </c>
    </row>
    <row r="129" spans="1:15">
      <c r="A129" s="173" t="s">
        <v>263</v>
      </c>
      <c r="B129" s="173" t="s">
        <v>121</v>
      </c>
      <c r="C129" s="173" t="s">
        <v>300</v>
      </c>
      <c r="D129" s="173" t="s">
        <v>265</v>
      </c>
      <c r="E129" s="173" t="s">
        <v>19</v>
      </c>
      <c r="F129" s="174">
        <v>1</v>
      </c>
      <c r="G129" s="175">
        <v>24.085999999999999</v>
      </c>
      <c r="H129" s="176">
        <v>50098.879999999997</v>
      </c>
      <c r="I129" s="177">
        <v>40</v>
      </c>
      <c r="J129" s="178">
        <v>43101</v>
      </c>
      <c r="K129" s="174">
        <v>5</v>
      </c>
      <c r="L129" s="173" t="s">
        <v>19</v>
      </c>
      <c r="M129" s="174">
        <v>230</v>
      </c>
      <c r="N129" s="173" t="s">
        <v>265</v>
      </c>
      <c r="O129" s="175">
        <v>26.431999999999999</v>
      </c>
    </row>
    <row r="130" spans="1:15">
      <c r="A130" s="173" t="s">
        <v>263</v>
      </c>
      <c r="B130" s="173" t="s">
        <v>121</v>
      </c>
      <c r="C130" s="173" t="s">
        <v>300</v>
      </c>
      <c r="D130" s="173" t="s">
        <v>265</v>
      </c>
      <c r="E130" s="173" t="s">
        <v>19</v>
      </c>
      <c r="F130" s="174">
        <v>2</v>
      </c>
      <c r="G130" s="175">
        <v>24.844999999999999</v>
      </c>
      <c r="H130" s="176">
        <v>51677.599999999999</v>
      </c>
      <c r="I130" s="177">
        <v>40</v>
      </c>
      <c r="J130" s="178">
        <v>43101</v>
      </c>
      <c r="K130" s="174">
        <v>5</v>
      </c>
      <c r="L130" s="173" t="s">
        <v>19</v>
      </c>
      <c r="M130" s="174">
        <v>230</v>
      </c>
      <c r="N130" s="173" t="s">
        <v>265</v>
      </c>
      <c r="O130" s="175">
        <v>26.431999999999999</v>
      </c>
    </row>
    <row r="131" spans="1:15">
      <c r="A131" s="173" t="s">
        <v>263</v>
      </c>
      <c r="B131" s="173" t="s">
        <v>121</v>
      </c>
      <c r="C131" s="173" t="s">
        <v>300</v>
      </c>
      <c r="D131" s="173" t="s">
        <v>265</v>
      </c>
      <c r="E131" s="173" t="s">
        <v>19</v>
      </c>
      <c r="F131" s="174">
        <v>3</v>
      </c>
      <c r="G131" s="175">
        <v>25.626999999999999</v>
      </c>
      <c r="H131" s="176">
        <v>53304.160000000003</v>
      </c>
      <c r="I131" s="177">
        <v>40</v>
      </c>
      <c r="J131" s="178">
        <v>43101</v>
      </c>
      <c r="K131" s="174">
        <v>5</v>
      </c>
      <c r="L131" s="173" t="s">
        <v>19</v>
      </c>
      <c r="M131" s="174">
        <v>230</v>
      </c>
      <c r="N131" s="173" t="s">
        <v>265</v>
      </c>
      <c r="O131" s="175">
        <v>26.431999999999999</v>
      </c>
    </row>
    <row r="132" spans="1:15">
      <c r="A132" s="173" t="s">
        <v>263</v>
      </c>
      <c r="B132" s="173" t="s">
        <v>121</v>
      </c>
      <c r="C132" s="173" t="s">
        <v>300</v>
      </c>
      <c r="D132" s="173" t="s">
        <v>265</v>
      </c>
      <c r="E132" s="173" t="s">
        <v>19</v>
      </c>
      <c r="F132" s="174">
        <v>4</v>
      </c>
      <c r="G132" s="175">
        <v>26.431999999999999</v>
      </c>
      <c r="H132" s="176">
        <v>54978.559999999998</v>
      </c>
      <c r="I132" s="177">
        <v>40</v>
      </c>
      <c r="J132" s="178">
        <v>43101</v>
      </c>
      <c r="K132" s="174">
        <v>5</v>
      </c>
      <c r="L132" s="173" t="s">
        <v>19</v>
      </c>
      <c r="M132" s="174">
        <v>230</v>
      </c>
      <c r="N132" s="173" t="s">
        <v>265</v>
      </c>
      <c r="O132" s="175">
        <v>26.431999999999999</v>
      </c>
    </row>
    <row r="133" spans="1:15">
      <c r="A133" s="173" t="s">
        <v>263</v>
      </c>
      <c r="B133" s="173" t="s">
        <v>121</v>
      </c>
      <c r="C133" s="173" t="s">
        <v>300</v>
      </c>
      <c r="D133" s="173" t="s">
        <v>265</v>
      </c>
      <c r="E133" s="173" t="s">
        <v>19</v>
      </c>
      <c r="F133" s="174">
        <v>11</v>
      </c>
      <c r="G133" s="175">
        <v>23.12</v>
      </c>
      <c r="H133" s="176">
        <v>48089.599999999999</v>
      </c>
      <c r="I133" s="177">
        <v>40</v>
      </c>
      <c r="J133" s="178">
        <v>43101</v>
      </c>
      <c r="K133" s="174">
        <v>5</v>
      </c>
      <c r="L133" s="173" t="s">
        <v>19</v>
      </c>
      <c r="M133" s="174">
        <v>230</v>
      </c>
      <c r="N133" s="173" t="s">
        <v>265</v>
      </c>
      <c r="O133" s="175">
        <v>26.431999999999999</v>
      </c>
    </row>
    <row r="134" spans="1:15">
      <c r="A134" s="173" t="s">
        <v>263</v>
      </c>
      <c r="B134" s="173" t="s">
        <v>126</v>
      </c>
      <c r="C134" s="173" t="s">
        <v>301</v>
      </c>
      <c r="D134" s="173" t="s">
        <v>265</v>
      </c>
      <c r="E134" s="173" t="s">
        <v>124</v>
      </c>
      <c r="F134" s="174">
        <v>1</v>
      </c>
      <c r="G134" s="175">
        <v>16.661999999999999</v>
      </c>
      <c r="H134" s="176">
        <v>34656.959999999999</v>
      </c>
      <c r="I134" s="177">
        <v>40</v>
      </c>
      <c r="J134" s="178">
        <v>43101</v>
      </c>
      <c r="K134" s="174">
        <v>0</v>
      </c>
      <c r="L134" s="173" t="s">
        <v>124</v>
      </c>
      <c r="M134" s="174">
        <v>0</v>
      </c>
      <c r="N134" s="173" t="s">
        <v>265</v>
      </c>
      <c r="O134" s="175">
        <v>16.661999999999999</v>
      </c>
    </row>
    <row r="135" spans="1:15">
      <c r="A135" s="173" t="s">
        <v>263</v>
      </c>
      <c r="B135" s="173" t="s">
        <v>126</v>
      </c>
      <c r="C135" s="173" t="s">
        <v>301</v>
      </c>
      <c r="D135" s="173" t="s">
        <v>265</v>
      </c>
      <c r="E135" s="173" t="s">
        <v>124</v>
      </c>
      <c r="F135" s="174">
        <v>11</v>
      </c>
      <c r="G135" s="175">
        <v>15.542999999999999</v>
      </c>
      <c r="H135" s="176">
        <v>32329.439999999999</v>
      </c>
      <c r="I135" s="177">
        <v>40</v>
      </c>
      <c r="J135" s="178">
        <v>43101</v>
      </c>
      <c r="K135" s="174">
        <v>0</v>
      </c>
      <c r="L135" s="173" t="s">
        <v>124</v>
      </c>
      <c r="M135" s="174">
        <v>0</v>
      </c>
      <c r="N135" s="173" t="s">
        <v>265</v>
      </c>
      <c r="O135" s="175">
        <v>16.661999999999999</v>
      </c>
    </row>
    <row r="136" spans="1:15">
      <c r="A136" s="173" t="s">
        <v>263</v>
      </c>
      <c r="B136" s="173" t="s">
        <v>119</v>
      </c>
      <c r="C136" s="173" t="s">
        <v>302</v>
      </c>
      <c r="D136" s="173" t="s">
        <v>265</v>
      </c>
      <c r="E136" s="173" t="s">
        <v>118</v>
      </c>
      <c r="F136" s="174">
        <v>1</v>
      </c>
      <c r="G136" s="175">
        <v>24.872</v>
      </c>
      <c r="H136" s="176">
        <v>51733.760000000002</v>
      </c>
      <c r="I136" s="177">
        <v>40</v>
      </c>
      <c r="J136" s="178">
        <v>43101</v>
      </c>
      <c r="K136" s="174">
        <v>7</v>
      </c>
      <c r="L136" s="173" t="s">
        <v>118</v>
      </c>
      <c r="M136" s="174">
        <v>335</v>
      </c>
      <c r="N136" s="173" t="s">
        <v>265</v>
      </c>
      <c r="O136" s="175">
        <v>31.262</v>
      </c>
    </row>
    <row r="137" spans="1:15">
      <c r="A137" s="173" t="s">
        <v>263</v>
      </c>
      <c r="B137" s="173" t="s">
        <v>119</v>
      </c>
      <c r="C137" s="173" t="s">
        <v>302</v>
      </c>
      <c r="D137" s="173" t="s">
        <v>265</v>
      </c>
      <c r="E137" s="173" t="s">
        <v>118</v>
      </c>
      <c r="F137" s="174">
        <v>2</v>
      </c>
      <c r="G137" s="175">
        <v>26.15</v>
      </c>
      <c r="H137" s="176">
        <v>54392</v>
      </c>
      <c r="I137" s="177">
        <v>40</v>
      </c>
      <c r="J137" s="178">
        <v>43101</v>
      </c>
      <c r="K137" s="174">
        <v>7</v>
      </c>
      <c r="L137" s="173" t="s">
        <v>118</v>
      </c>
      <c r="M137" s="174">
        <v>335</v>
      </c>
      <c r="N137" s="173" t="s">
        <v>265</v>
      </c>
      <c r="O137" s="175">
        <v>31.262</v>
      </c>
    </row>
    <row r="138" spans="1:15">
      <c r="A138" s="173" t="s">
        <v>263</v>
      </c>
      <c r="B138" s="173" t="s">
        <v>119</v>
      </c>
      <c r="C138" s="173" t="s">
        <v>302</v>
      </c>
      <c r="D138" s="173" t="s">
        <v>265</v>
      </c>
      <c r="E138" s="173" t="s">
        <v>118</v>
      </c>
      <c r="F138" s="174">
        <v>3</v>
      </c>
      <c r="G138" s="175">
        <v>27.428000000000001</v>
      </c>
      <c r="H138" s="176">
        <v>57050.239999999998</v>
      </c>
      <c r="I138" s="177">
        <v>40</v>
      </c>
      <c r="J138" s="178">
        <v>43101</v>
      </c>
      <c r="K138" s="174">
        <v>7</v>
      </c>
      <c r="L138" s="173" t="s">
        <v>118</v>
      </c>
      <c r="M138" s="174">
        <v>335</v>
      </c>
      <c r="N138" s="173" t="s">
        <v>265</v>
      </c>
      <c r="O138" s="175">
        <v>31.262</v>
      </c>
    </row>
    <row r="139" spans="1:15">
      <c r="A139" s="173" t="s">
        <v>263</v>
      </c>
      <c r="B139" s="173" t="s">
        <v>119</v>
      </c>
      <c r="C139" s="173" t="s">
        <v>302</v>
      </c>
      <c r="D139" s="173" t="s">
        <v>265</v>
      </c>
      <c r="E139" s="173" t="s">
        <v>118</v>
      </c>
      <c r="F139" s="174">
        <v>4</v>
      </c>
      <c r="G139" s="175">
        <v>28.702000000000002</v>
      </c>
      <c r="H139" s="176">
        <v>59700.160000000003</v>
      </c>
      <c r="I139" s="177">
        <v>40</v>
      </c>
      <c r="J139" s="178">
        <v>43101</v>
      </c>
      <c r="K139" s="174">
        <v>7</v>
      </c>
      <c r="L139" s="173" t="s">
        <v>118</v>
      </c>
      <c r="M139" s="174">
        <v>335</v>
      </c>
      <c r="N139" s="173" t="s">
        <v>265</v>
      </c>
      <c r="O139" s="175">
        <v>31.262</v>
      </c>
    </row>
    <row r="140" spans="1:15">
      <c r="A140" s="173" t="s">
        <v>263</v>
      </c>
      <c r="B140" s="173" t="s">
        <v>119</v>
      </c>
      <c r="C140" s="173" t="s">
        <v>302</v>
      </c>
      <c r="D140" s="173" t="s">
        <v>265</v>
      </c>
      <c r="E140" s="173" t="s">
        <v>118</v>
      </c>
      <c r="F140" s="174">
        <v>5</v>
      </c>
      <c r="G140" s="175">
        <v>29.98</v>
      </c>
      <c r="H140" s="176">
        <v>62358.400000000001</v>
      </c>
      <c r="I140" s="177">
        <v>40</v>
      </c>
      <c r="J140" s="178">
        <v>43101</v>
      </c>
      <c r="K140" s="174">
        <v>7</v>
      </c>
      <c r="L140" s="173" t="s">
        <v>118</v>
      </c>
      <c r="M140" s="174">
        <v>335</v>
      </c>
      <c r="N140" s="173" t="s">
        <v>265</v>
      </c>
      <c r="O140" s="175">
        <v>31.262</v>
      </c>
    </row>
    <row r="141" spans="1:15">
      <c r="A141" s="173" t="s">
        <v>263</v>
      </c>
      <c r="B141" s="173" t="s">
        <v>119</v>
      </c>
      <c r="C141" s="173" t="s">
        <v>302</v>
      </c>
      <c r="D141" s="173" t="s">
        <v>265</v>
      </c>
      <c r="E141" s="173" t="s">
        <v>118</v>
      </c>
      <c r="F141" s="174">
        <v>6</v>
      </c>
      <c r="G141" s="175">
        <v>31.262</v>
      </c>
      <c r="H141" s="176">
        <v>65024.959999999999</v>
      </c>
      <c r="I141" s="177">
        <v>40</v>
      </c>
      <c r="J141" s="178">
        <v>43101</v>
      </c>
      <c r="K141" s="174">
        <v>7</v>
      </c>
      <c r="L141" s="173" t="s">
        <v>118</v>
      </c>
      <c r="M141" s="174">
        <v>335</v>
      </c>
      <c r="N141" s="173" t="s">
        <v>265</v>
      </c>
      <c r="O141" s="175">
        <v>31.262</v>
      </c>
    </row>
    <row r="142" spans="1:15">
      <c r="A142" s="173" t="s">
        <v>263</v>
      </c>
      <c r="B142" s="173" t="s">
        <v>119</v>
      </c>
      <c r="C142" s="173" t="s">
        <v>302</v>
      </c>
      <c r="D142" s="173" t="s">
        <v>265</v>
      </c>
      <c r="E142" s="173" t="s">
        <v>118</v>
      </c>
      <c r="F142" s="174">
        <v>11</v>
      </c>
      <c r="G142" s="175">
        <v>23.594999999999999</v>
      </c>
      <c r="H142" s="176">
        <v>49077.599999999999</v>
      </c>
      <c r="I142" s="177">
        <v>40</v>
      </c>
      <c r="J142" s="178">
        <v>43101</v>
      </c>
      <c r="K142" s="174">
        <v>7</v>
      </c>
      <c r="L142" s="173" t="s">
        <v>118</v>
      </c>
      <c r="M142" s="174">
        <v>335</v>
      </c>
      <c r="N142" s="173" t="s">
        <v>265</v>
      </c>
      <c r="O142" s="175">
        <v>31.262</v>
      </c>
    </row>
    <row r="143" spans="1:15">
      <c r="A143" s="173" t="s">
        <v>263</v>
      </c>
      <c r="B143" s="173" t="s">
        <v>131</v>
      </c>
      <c r="C143" s="173" t="s">
        <v>303</v>
      </c>
      <c r="D143" s="173" t="s">
        <v>265</v>
      </c>
      <c r="E143" s="173" t="s">
        <v>130</v>
      </c>
      <c r="F143" s="174">
        <v>1</v>
      </c>
      <c r="G143" s="175">
        <v>32.130000000000003</v>
      </c>
      <c r="H143" s="176">
        <v>66830.399999999994</v>
      </c>
      <c r="I143" s="177">
        <v>40</v>
      </c>
      <c r="J143" s="178">
        <v>43233</v>
      </c>
      <c r="K143" s="174">
        <v>7</v>
      </c>
      <c r="L143" s="173" t="s">
        <v>130</v>
      </c>
      <c r="M143" s="174">
        <v>318</v>
      </c>
      <c r="N143" s="173" t="s">
        <v>265</v>
      </c>
      <c r="O143" s="175">
        <v>34.404000000000003</v>
      </c>
    </row>
    <row r="144" spans="1:15">
      <c r="A144" s="173" t="s">
        <v>263</v>
      </c>
      <c r="B144" s="173" t="s">
        <v>131</v>
      </c>
      <c r="C144" s="173" t="s">
        <v>303</v>
      </c>
      <c r="D144" s="173" t="s">
        <v>265</v>
      </c>
      <c r="E144" s="173" t="s">
        <v>130</v>
      </c>
      <c r="F144" s="174">
        <v>2</v>
      </c>
      <c r="G144" s="175">
        <v>33</v>
      </c>
      <c r="H144" s="176">
        <v>68640</v>
      </c>
      <c r="I144" s="177">
        <v>40</v>
      </c>
      <c r="J144" s="178">
        <v>43233</v>
      </c>
      <c r="K144" s="174">
        <v>7</v>
      </c>
      <c r="L144" s="173" t="s">
        <v>130</v>
      </c>
      <c r="M144" s="174">
        <v>318</v>
      </c>
      <c r="N144" s="173" t="s">
        <v>265</v>
      </c>
      <c r="O144" s="175">
        <v>34.404000000000003</v>
      </c>
    </row>
    <row r="145" spans="1:15">
      <c r="A145" s="173" t="s">
        <v>263</v>
      </c>
      <c r="B145" s="173" t="s">
        <v>131</v>
      </c>
      <c r="C145" s="173" t="s">
        <v>303</v>
      </c>
      <c r="D145" s="173" t="s">
        <v>265</v>
      </c>
      <c r="E145" s="173" t="s">
        <v>130</v>
      </c>
      <c r="F145" s="174">
        <v>3</v>
      </c>
      <c r="G145" s="175">
        <v>34.04</v>
      </c>
      <c r="H145" s="176">
        <v>70803.199999999997</v>
      </c>
      <c r="I145" s="177">
        <v>40</v>
      </c>
      <c r="J145" s="178">
        <v>43233</v>
      </c>
      <c r="K145" s="174">
        <v>7</v>
      </c>
      <c r="L145" s="173" t="s">
        <v>130</v>
      </c>
      <c r="M145" s="174">
        <v>318</v>
      </c>
      <c r="N145" s="173" t="s">
        <v>265</v>
      </c>
      <c r="O145" s="175">
        <v>34.404000000000003</v>
      </c>
    </row>
    <row r="146" spans="1:15">
      <c r="A146" s="173" t="s">
        <v>263</v>
      </c>
      <c r="B146" s="173" t="s">
        <v>134</v>
      </c>
      <c r="C146" s="173" t="s">
        <v>304</v>
      </c>
      <c r="D146" s="173" t="s">
        <v>265</v>
      </c>
      <c r="E146" s="173" t="s">
        <v>133</v>
      </c>
      <c r="F146" s="174">
        <v>1</v>
      </c>
      <c r="G146" s="175">
        <v>24.791</v>
      </c>
      <c r="H146" s="176">
        <v>51565.279999999999</v>
      </c>
      <c r="I146" s="177">
        <v>40</v>
      </c>
      <c r="J146" s="178">
        <v>43101</v>
      </c>
      <c r="K146" s="174">
        <v>6</v>
      </c>
      <c r="L146" s="173" t="s">
        <v>133</v>
      </c>
      <c r="M146" s="174">
        <v>310</v>
      </c>
      <c r="N146" s="173" t="s">
        <v>265</v>
      </c>
      <c r="O146" s="175">
        <v>28.501000000000001</v>
      </c>
    </row>
    <row r="147" spans="1:15">
      <c r="A147" s="173" t="s">
        <v>263</v>
      </c>
      <c r="B147" s="173" t="s">
        <v>134</v>
      </c>
      <c r="C147" s="173" t="s">
        <v>304</v>
      </c>
      <c r="D147" s="173" t="s">
        <v>265</v>
      </c>
      <c r="E147" s="173" t="s">
        <v>133</v>
      </c>
      <c r="F147" s="174">
        <v>2</v>
      </c>
      <c r="G147" s="175">
        <v>26.010999999999999</v>
      </c>
      <c r="H147" s="176">
        <v>54102.879999999997</v>
      </c>
      <c r="I147" s="177">
        <v>40</v>
      </c>
      <c r="J147" s="178">
        <v>43101</v>
      </c>
      <c r="K147" s="174">
        <v>6</v>
      </c>
      <c r="L147" s="173" t="s">
        <v>133</v>
      </c>
      <c r="M147" s="174">
        <v>310</v>
      </c>
      <c r="N147" s="173" t="s">
        <v>265</v>
      </c>
      <c r="O147" s="175">
        <v>28.501000000000001</v>
      </c>
    </row>
    <row r="148" spans="1:15">
      <c r="A148" s="173" t="s">
        <v>263</v>
      </c>
      <c r="B148" s="173" t="s">
        <v>134</v>
      </c>
      <c r="C148" s="173" t="s">
        <v>304</v>
      </c>
      <c r="D148" s="173" t="s">
        <v>265</v>
      </c>
      <c r="E148" s="173" t="s">
        <v>133</v>
      </c>
      <c r="F148" s="174">
        <v>3</v>
      </c>
      <c r="G148" s="175">
        <v>27.210999999999999</v>
      </c>
      <c r="H148" s="176">
        <v>56598.879999999997</v>
      </c>
      <c r="I148" s="177">
        <v>40</v>
      </c>
      <c r="J148" s="178">
        <v>43101</v>
      </c>
      <c r="K148" s="174">
        <v>6</v>
      </c>
      <c r="L148" s="173" t="s">
        <v>133</v>
      </c>
      <c r="M148" s="174">
        <v>310</v>
      </c>
      <c r="N148" s="173" t="s">
        <v>265</v>
      </c>
      <c r="O148" s="175">
        <v>28.501000000000001</v>
      </c>
    </row>
    <row r="149" spans="1:15">
      <c r="A149" s="173" t="s">
        <v>263</v>
      </c>
      <c r="B149" s="173" t="s">
        <v>134</v>
      </c>
      <c r="C149" s="173" t="s">
        <v>304</v>
      </c>
      <c r="D149" s="173" t="s">
        <v>265</v>
      </c>
      <c r="E149" s="173" t="s">
        <v>133</v>
      </c>
      <c r="F149" s="174">
        <v>4</v>
      </c>
      <c r="G149" s="175">
        <v>28.501000000000001</v>
      </c>
      <c r="H149" s="176">
        <v>59282.080000000002</v>
      </c>
      <c r="I149" s="177">
        <v>40</v>
      </c>
      <c r="J149" s="178">
        <v>43101</v>
      </c>
      <c r="K149" s="174">
        <v>6</v>
      </c>
      <c r="L149" s="173" t="s">
        <v>133</v>
      </c>
      <c r="M149" s="174">
        <v>310</v>
      </c>
      <c r="N149" s="173" t="s">
        <v>265</v>
      </c>
      <c r="O149" s="175">
        <v>28.501000000000001</v>
      </c>
    </row>
    <row r="150" spans="1:15">
      <c r="A150" s="173" t="s">
        <v>263</v>
      </c>
      <c r="B150" s="173" t="s">
        <v>134</v>
      </c>
      <c r="C150" s="173" t="s">
        <v>304</v>
      </c>
      <c r="D150" s="173" t="s">
        <v>265</v>
      </c>
      <c r="E150" s="173" t="s">
        <v>133</v>
      </c>
      <c r="F150" s="174">
        <v>11</v>
      </c>
      <c r="G150" s="175">
        <v>23.797000000000001</v>
      </c>
      <c r="H150" s="176">
        <v>49497.760000000002</v>
      </c>
      <c r="I150" s="177">
        <v>40</v>
      </c>
      <c r="J150" s="178">
        <v>43101</v>
      </c>
      <c r="K150" s="174">
        <v>6</v>
      </c>
      <c r="L150" s="173" t="s">
        <v>133</v>
      </c>
      <c r="M150" s="174">
        <v>310</v>
      </c>
      <c r="N150" s="173" t="s">
        <v>265</v>
      </c>
      <c r="O150" s="175">
        <v>28.501000000000001</v>
      </c>
    </row>
    <row r="151" spans="1:15">
      <c r="A151" s="173" t="s">
        <v>263</v>
      </c>
      <c r="B151" s="173" t="s">
        <v>136</v>
      </c>
      <c r="C151" s="173" t="s">
        <v>305</v>
      </c>
      <c r="D151" s="173" t="s">
        <v>265</v>
      </c>
      <c r="E151" s="173" t="s">
        <v>306</v>
      </c>
      <c r="F151" s="174">
        <v>1</v>
      </c>
      <c r="G151" s="175">
        <v>26.039000000000001</v>
      </c>
      <c r="H151" s="176">
        <v>54161.120000000003</v>
      </c>
      <c r="I151" s="177">
        <v>40</v>
      </c>
      <c r="J151" s="178">
        <v>43101</v>
      </c>
      <c r="K151" s="174">
        <v>5</v>
      </c>
      <c r="L151" s="173" t="s">
        <v>306</v>
      </c>
      <c r="M151" s="174">
        <v>258</v>
      </c>
      <c r="N151" s="173" t="s">
        <v>265</v>
      </c>
      <c r="O151" s="175">
        <v>26.039000000000001</v>
      </c>
    </row>
    <row r="152" spans="1:15">
      <c r="A152" s="173" t="s">
        <v>263</v>
      </c>
      <c r="B152" s="173" t="s">
        <v>136</v>
      </c>
      <c r="C152" s="173" t="s">
        <v>305</v>
      </c>
      <c r="D152" s="173" t="s">
        <v>265</v>
      </c>
      <c r="E152" s="173" t="s">
        <v>306</v>
      </c>
      <c r="F152" s="174">
        <v>11</v>
      </c>
      <c r="G152" s="175">
        <v>24.995000000000001</v>
      </c>
      <c r="H152" s="176">
        <v>51989.599999999999</v>
      </c>
      <c r="I152" s="177">
        <v>40</v>
      </c>
      <c r="J152" s="178">
        <v>43101</v>
      </c>
      <c r="K152" s="174">
        <v>5</v>
      </c>
      <c r="L152" s="173" t="s">
        <v>306</v>
      </c>
      <c r="M152" s="174">
        <v>258</v>
      </c>
      <c r="N152" s="173" t="s">
        <v>265</v>
      </c>
      <c r="O152" s="175">
        <v>26.039000000000001</v>
      </c>
    </row>
    <row r="153" spans="1:15">
      <c r="A153" s="173" t="s">
        <v>263</v>
      </c>
      <c r="B153" s="173" t="s">
        <v>138</v>
      </c>
      <c r="C153" s="173" t="s">
        <v>307</v>
      </c>
      <c r="D153" s="173" t="s">
        <v>265</v>
      </c>
      <c r="E153" s="173" t="s">
        <v>308</v>
      </c>
      <c r="F153" s="174">
        <v>1</v>
      </c>
      <c r="G153" s="175">
        <v>28.036999999999999</v>
      </c>
      <c r="H153" s="176">
        <v>58316.959999999999</v>
      </c>
      <c r="I153" s="177">
        <v>40</v>
      </c>
      <c r="J153" s="178">
        <v>43101</v>
      </c>
      <c r="K153" s="174">
        <v>6</v>
      </c>
      <c r="L153" s="173" t="s">
        <v>308</v>
      </c>
      <c r="M153" s="174">
        <v>295</v>
      </c>
      <c r="N153" s="173" t="s">
        <v>265</v>
      </c>
      <c r="O153" s="175">
        <v>29.494</v>
      </c>
    </row>
    <row r="154" spans="1:15">
      <c r="A154" s="173" t="s">
        <v>263</v>
      </c>
      <c r="B154" s="173" t="s">
        <v>138</v>
      </c>
      <c r="C154" s="173" t="s">
        <v>307</v>
      </c>
      <c r="D154" s="173" t="s">
        <v>265</v>
      </c>
      <c r="E154" s="173" t="s">
        <v>308</v>
      </c>
      <c r="F154" s="174">
        <v>2</v>
      </c>
      <c r="G154" s="175">
        <v>28.766999999999999</v>
      </c>
      <c r="H154" s="176">
        <v>59835.360000000001</v>
      </c>
      <c r="I154" s="177">
        <v>40</v>
      </c>
      <c r="J154" s="178">
        <v>43101</v>
      </c>
      <c r="K154" s="174">
        <v>6</v>
      </c>
      <c r="L154" s="173" t="s">
        <v>308</v>
      </c>
      <c r="M154" s="174">
        <v>295</v>
      </c>
      <c r="N154" s="173" t="s">
        <v>265</v>
      </c>
      <c r="O154" s="175">
        <v>29.494</v>
      </c>
    </row>
    <row r="155" spans="1:15">
      <c r="A155" s="173" t="s">
        <v>263</v>
      </c>
      <c r="B155" s="173" t="s">
        <v>138</v>
      </c>
      <c r="C155" s="173" t="s">
        <v>307</v>
      </c>
      <c r="D155" s="173" t="s">
        <v>265</v>
      </c>
      <c r="E155" s="173" t="s">
        <v>308</v>
      </c>
      <c r="F155" s="174">
        <v>3</v>
      </c>
      <c r="G155" s="175">
        <v>29.494</v>
      </c>
      <c r="H155" s="176">
        <v>61347.519999999997</v>
      </c>
      <c r="I155" s="177">
        <v>40</v>
      </c>
      <c r="J155" s="178">
        <v>43101</v>
      </c>
      <c r="K155" s="174">
        <v>6</v>
      </c>
      <c r="L155" s="173" t="s">
        <v>308</v>
      </c>
      <c r="M155" s="174">
        <v>295</v>
      </c>
      <c r="N155" s="173" t="s">
        <v>265</v>
      </c>
      <c r="O155" s="175">
        <v>29.494</v>
      </c>
    </row>
    <row r="156" spans="1:15">
      <c r="A156" s="173" t="s">
        <v>263</v>
      </c>
      <c r="B156" s="173" t="s">
        <v>138</v>
      </c>
      <c r="C156" s="173" t="s">
        <v>307</v>
      </c>
      <c r="D156" s="173" t="s">
        <v>265</v>
      </c>
      <c r="E156" s="173" t="s">
        <v>308</v>
      </c>
      <c r="F156" s="174">
        <v>11</v>
      </c>
      <c r="G156" s="175">
        <v>26.913</v>
      </c>
      <c r="H156" s="176">
        <v>55979.040000000001</v>
      </c>
      <c r="I156" s="177">
        <v>40</v>
      </c>
      <c r="J156" s="178">
        <v>43101</v>
      </c>
      <c r="K156" s="174">
        <v>6</v>
      </c>
      <c r="L156" s="173" t="s">
        <v>308</v>
      </c>
      <c r="M156" s="174">
        <v>295</v>
      </c>
      <c r="N156" s="173" t="s">
        <v>265</v>
      </c>
      <c r="O156" s="175">
        <v>29.494</v>
      </c>
    </row>
    <row r="157" spans="1:15">
      <c r="A157" s="173" t="s">
        <v>263</v>
      </c>
      <c r="B157" s="173" t="s">
        <v>140</v>
      </c>
      <c r="C157" s="173" t="s">
        <v>309</v>
      </c>
      <c r="D157" s="173" t="s">
        <v>265</v>
      </c>
      <c r="E157" s="173" t="s">
        <v>310</v>
      </c>
      <c r="F157" s="174">
        <v>1</v>
      </c>
      <c r="G157" s="175">
        <v>18.794</v>
      </c>
      <c r="H157" s="176">
        <v>39091.519999999997</v>
      </c>
      <c r="I157" s="177">
        <v>40</v>
      </c>
      <c r="J157" s="178">
        <v>43101</v>
      </c>
      <c r="K157" s="174">
        <v>5</v>
      </c>
      <c r="L157" s="173" t="s">
        <v>310</v>
      </c>
      <c r="M157" s="174">
        <v>260</v>
      </c>
      <c r="N157" s="173" t="s">
        <v>265</v>
      </c>
      <c r="O157" s="175">
        <v>25.509</v>
      </c>
    </row>
    <row r="158" spans="1:15">
      <c r="A158" s="173" t="s">
        <v>263</v>
      </c>
      <c r="B158" s="173" t="s">
        <v>140</v>
      </c>
      <c r="C158" s="173" t="s">
        <v>309</v>
      </c>
      <c r="D158" s="173" t="s">
        <v>265</v>
      </c>
      <c r="E158" s="173" t="s">
        <v>310</v>
      </c>
      <c r="F158" s="174">
        <v>2</v>
      </c>
      <c r="G158" s="175">
        <v>19.937999999999999</v>
      </c>
      <c r="H158" s="176">
        <v>41471.040000000001</v>
      </c>
      <c r="I158" s="177">
        <v>40</v>
      </c>
      <c r="J158" s="178">
        <v>43101</v>
      </c>
      <c r="K158" s="174">
        <v>5</v>
      </c>
      <c r="L158" s="173" t="s">
        <v>310</v>
      </c>
      <c r="M158" s="174">
        <v>260</v>
      </c>
      <c r="N158" s="173" t="s">
        <v>265</v>
      </c>
      <c r="O158" s="175">
        <v>25.509</v>
      </c>
    </row>
    <row r="159" spans="1:15">
      <c r="A159" s="173" t="s">
        <v>263</v>
      </c>
      <c r="B159" s="173" t="s">
        <v>140</v>
      </c>
      <c r="C159" s="173" t="s">
        <v>309</v>
      </c>
      <c r="D159" s="173" t="s">
        <v>265</v>
      </c>
      <c r="E159" s="173" t="s">
        <v>310</v>
      </c>
      <c r="F159" s="174">
        <v>3</v>
      </c>
      <c r="G159" s="175">
        <v>21.913</v>
      </c>
      <c r="H159" s="176">
        <v>45579.040000000001</v>
      </c>
      <c r="I159" s="177">
        <v>40</v>
      </c>
      <c r="J159" s="178">
        <v>43101</v>
      </c>
      <c r="K159" s="174">
        <v>5</v>
      </c>
      <c r="L159" s="173" t="s">
        <v>310</v>
      </c>
      <c r="M159" s="174">
        <v>260</v>
      </c>
      <c r="N159" s="173" t="s">
        <v>265</v>
      </c>
      <c r="O159" s="175">
        <v>25.509</v>
      </c>
    </row>
    <row r="160" spans="1:15">
      <c r="A160" s="173" t="s">
        <v>263</v>
      </c>
      <c r="B160" s="173" t="s">
        <v>140</v>
      </c>
      <c r="C160" s="173" t="s">
        <v>309</v>
      </c>
      <c r="D160" s="173" t="s">
        <v>265</v>
      </c>
      <c r="E160" s="173" t="s">
        <v>310</v>
      </c>
      <c r="F160" s="174">
        <v>4</v>
      </c>
      <c r="G160" s="175">
        <v>22.765999999999998</v>
      </c>
      <c r="H160" s="176">
        <v>47353.279999999999</v>
      </c>
      <c r="I160" s="177">
        <v>40</v>
      </c>
      <c r="J160" s="178">
        <v>43101</v>
      </c>
      <c r="K160" s="174">
        <v>5</v>
      </c>
      <c r="L160" s="173" t="s">
        <v>310</v>
      </c>
      <c r="M160" s="174">
        <v>260</v>
      </c>
      <c r="N160" s="173" t="s">
        <v>265</v>
      </c>
      <c r="O160" s="175">
        <v>25.509</v>
      </c>
    </row>
    <row r="161" spans="1:15">
      <c r="A161" s="173" t="s">
        <v>263</v>
      </c>
      <c r="B161" s="173" t="s">
        <v>140</v>
      </c>
      <c r="C161" s="173" t="s">
        <v>309</v>
      </c>
      <c r="D161" s="173" t="s">
        <v>265</v>
      </c>
      <c r="E161" s="173" t="s">
        <v>310</v>
      </c>
      <c r="F161" s="174">
        <v>5</v>
      </c>
      <c r="G161" s="175">
        <v>23.605</v>
      </c>
      <c r="H161" s="176">
        <v>49098.400000000001</v>
      </c>
      <c r="I161" s="177">
        <v>40</v>
      </c>
      <c r="J161" s="178">
        <v>43101</v>
      </c>
      <c r="K161" s="174">
        <v>5</v>
      </c>
      <c r="L161" s="173" t="s">
        <v>310</v>
      </c>
      <c r="M161" s="174">
        <v>260</v>
      </c>
      <c r="N161" s="173" t="s">
        <v>265</v>
      </c>
      <c r="O161" s="175">
        <v>25.509</v>
      </c>
    </row>
    <row r="162" spans="1:15">
      <c r="A162" s="173" t="s">
        <v>263</v>
      </c>
      <c r="B162" s="173" t="s">
        <v>140</v>
      </c>
      <c r="C162" s="173" t="s">
        <v>309</v>
      </c>
      <c r="D162" s="173" t="s">
        <v>265</v>
      </c>
      <c r="E162" s="173" t="s">
        <v>310</v>
      </c>
      <c r="F162" s="174">
        <v>6</v>
      </c>
      <c r="G162" s="175">
        <v>24.484000000000002</v>
      </c>
      <c r="H162" s="176">
        <v>50926.720000000001</v>
      </c>
      <c r="I162" s="177">
        <v>40</v>
      </c>
      <c r="J162" s="178">
        <v>43101</v>
      </c>
      <c r="K162" s="174">
        <v>5</v>
      </c>
      <c r="L162" s="173" t="s">
        <v>310</v>
      </c>
      <c r="M162" s="174">
        <v>260</v>
      </c>
      <c r="N162" s="173" t="s">
        <v>265</v>
      </c>
      <c r="O162" s="175">
        <v>25.509</v>
      </c>
    </row>
    <row r="163" spans="1:15">
      <c r="A163" s="173" t="s">
        <v>263</v>
      </c>
      <c r="B163" s="173" t="s">
        <v>140</v>
      </c>
      <c r="C163" s="173" t="s">
        <v>309</v>
      </c>
      <c r="D163" s="173" t="s">
        <v>265</v>
      </c>
      <c r="E163" s="173" t="s">
        <v>310</v>
      </c>
      <c r="F163" s="174">
        <v>7</v>
      </c>
      <c r="G163" s="175">
        <v>25.509</v>
      </c>
      <c r="H163" s="176">
        <v>53058.720000000001</v>
      </c>
      <c r="I163" s="177">
        <v>40</v>
      </c>
      <c r="J163" s="178">
        <v>43101</v>
      </c>
      <c r="K163" s="174">
        <v>5</v>
      </c>
      <c r="L163" s="173" t="s">
        <v>310</v>
      </c>
      <c r="M163" s="174">
        <v>260</v>
      </c>
      <c r="N163" s="173" t="s">
        <v>265</v>
      </c>
      <c r="O163" s="175">
        <v>25.509</v>
      </c>
    </row>
    <row r="164" spans="1:15">
      <c r="A164" s="173" t="s">
        <v>263</v>
      </c>
      <c r="B164" s="173" t="s">
        <v>140</v>
      </c>
      <c r="C164" s="173" t="s">
        <v>309</v>
      </c>
      <c r="D164" s="173" t="s">
        <v>265</v>
      </c>
      <c r="E164" s="173" t="s">
        <v>310</v>
      </c>
      <c r="F164" s="174">
        <v>11</v>
      </c>
      <c r="G164" s="175">
        <v>18.039000000000001</v>
      </c>
      <c r="H164" s="176">
        <v>37521.120000000003</v>
      </c>
      <c r="I164" s="177">
        <v>40</v>
      </c>
      <c r="J164" s="178">
        <v>43101</v>
      </c>
      <c r="K164" s="174">
        <v>5</v>
      </c>
      <c r="L164" s="173" t="s">
        <v>310</v>
      </c>
      <c r="M164" s="174">
        <v>260</v>
      </c>
      <c r="N164" s="173" t="s">
        <v>265</v>
      </c>
      <c r="O164" s="175">
        <v>25.509</v>
      </c>
    </row>
    <row r="165" spans="1:15">
      <c r="A165" s="173" t="s">
        <v>263</v>
      </c>
      <c r="B165" s="173" t="s">
        <v>142</v>
      </c>
      <c r="C165" s="173" t="s">
        <v>311</v>
      </c>
      <c r="D165" s="173" t="s">
        <v>265</v>
      </c>
      <c r="E165" s="173" t="s">
        <v>118</v>
      </c>
      <c r="F165" s="174">
        <v>1</v>
      </c>
      <c r="G165" s="175">
        <v>24.872</v>
      </c>
      <c r="H165" s="176">
        <v>51733.760000000002</v>
      </c>
      <c r="I165" s="177">
        <v>40</v>
      </c>
      <c r="J165" s="178">
        <v>43101</v>
      </c>
      <c r="K165" s="174">
        <v>7</v>
      </c>
      <c r="L165" s="173" t="s">
        <v>118</v>
      </c>
      <c r="M165" s="174">
        <v>333</v>
      </c>
      <c r="N165" s="173" t="s">
        <v>265</v>
      </c>
      <c r="O165" s="175">
        <v>31.262</v>
      </c>
    </row>
    <row r="166" spans="1:15">
      <c r="A166" s="173" t="s">
        <v>263</v>
      </c>
      <c r="B166" s="173" t="s">
        <v>142</v>
      </c>
      <c r="C166" s="173" t="s">
        <v>311</v>
      </c>
      <c r="D166" s="173" t="s">
        <v>265</v>
      </c>
      <c r="E166" s="173" t="s">
        <v>118</v>
      </c>
      <c r="F166" s="174">
        <v>2</v>
      </c>
      <c r="G166" s="175">
        <v>26.15</v>
      </c>
      <c r="H166" s="176">
        <v>54392</v>
      </c>
      <c r="I166" s="177">
        <v>40</v>
      </c>
      <c r="J166" s="178">
        <v>43101</v>
      </c>
      <c r="K166" s="174">
        <v>7</v>
      </c>
      <c r="L166" s="173" t="s">
        <v>118</v>
      </c>
      <c r="M166" s="174">
        <v>333</v>
      </c>
      <c r="N166" s="173" t="s">
        <v>265</v>
      </c>
      <c r="O166" s="175">
        <v>31.262</v>
      </c>
    </row>
    <row r="167" spans="1:15">
      <c r="A167" s="173" t="s">
        <v>263</v>
      </c>
      <c r="B167" s="173" t="s">
        <v>142</v>
      </c>
      <c r="C167" s="173" t="s">
        <v>311</v>
      </c>
      <c r="D167" s="173" t="s">
        <v>265</v>
      </c>
      <c r="E167" s="173" t="s">
        <v>118</v>
      </c>
      <c r="F167" s="174">
        <v>3</v>
      </c>
      <c r="G167" s="175">
        <v>27.428000000000001</v>
      </c>
      <c r="H167" s="176">
        <v>57050.239999999998</v>
      </c>
      <c r="I167" s="177">
        <v>40</v>
      </c>
      <c r="J167" s="178">
        <v>43101</v>
      </c>
      <c r="K167" s="174">
        <v>7</v>
      </c>
      <c r="L167" s="173" t="s">
        <v>118</v>
      </c>
      <c r="M167" s="174">
        <v>333</v>
      </c>
      <c r="N167" s="173" t="s">
        <v>265</v>
      </c>
      <c r="O167" s="175">
        <v>31.262</v>
      </c>
    </row>
    <row r="168" spans="1:15">
      <c r="A168" s="173" t="s">
        <v>263</v>
      </c>
      <c r="B168" s="173" t="s">
        <v>142</v>
      </c>
      <c r="C168" s="173" t="s">
        <v>311</v>
      </c>
      <c r="D168" s="173" t="s">
        <v>265</v>
      </c>
      <c r="E168" s="173" t="s">
        <v>118</v>
      </c>
      <c r="F168" s="174">
        <v>4</v>
      </c>
      <c r="G168" s="175">
        <v>28.702000000000002</v>
      </c>
      <c r="H168" s="176">
        <v>59700.160000000003</v>
      </c>
      <c r="I168" s="177">
        <v>40</v>
      </c>
      <c r="J168" s="178">
        <v>43101</v>
      </c>
      <c r="K168" s="174">
        <v>7</v>
      </c>
      <c r="L168" s="173" t="s">
        <v>118</v>
      </c>
      <c r="M168" s="174">
        <v>333</v>
      </c>
      <c r="N168" s="173" t="s">
        <v>265</v>
      </c>
      <c r="O168" s="175">
        <v>31.262</v>
      </c>
    </row>
    <row r="169" spans="1:15">
      <c r="A169" s="173" t="s">
        <v>263</v>
      </c>
      <c r="B169" s="173" t="s">
        <v>142</v>
      </c>
      <c r="C169" s="173" t="s">
        <v>311</v>
      </c>
      <c r="D169" s="173" t="s">
        <v>265</v>
      </c>
      <c r="E169" s="173" t="s">
        <v>118</v>
      </c>
      <c r="F169" s="174">
        <v>5</v>
      </c>
      <c r="G169" s="175">
        <v>29.98</v>
      </c>
      <c r="H169" s="176">
        <v>62358.400000000001</v>
      </c>
      <c r="I169" s="177">
        <v>40</v>
      </c>
      <c r="J169" s="178">
        <v>43101</v>
      </c>
      <c r="K169" s="174">
        <v>7</v>
      </c>
      <c r="L169" s="173" t="s">
        <v>118</v>
      </c>
      <c r="M169" s="174">
        <v>333</v>
      </c>
      <c r="N169" s="173" t="s">
        <v>265</v>
      </c>
      <c r="O169" s="175">
        <v>31.262</v>
      </c>
    </row>
    <row r="170" spans="1:15">
      <c r="A170" s="173" t="s">
        <v>263</v>
      </c>
      <c r="B170" s="173" t="s">
        <v>142</v>
      </c>
      <c r="C170" s="173" t="s">
        <v>311</v>
      </c>
      <c r="D170" s="173" t="s">
        <v>265</v>
      </c>
      <c r="E170" s="173" t="s">
        <v>118</v>
      </c>
      <c r="F170" s="174">
        <v>6</v>
      </c>
      <c r="G170" s="175">
        <v>31.262</v>
      </c>
      <c r="H170" s="176">
        <v>65024.959999999999</v>
      </c>
      <c r="I170" s="177">
        <v>40</v>
      </c>
      <c r="J170" s="178">
        <v>43101</v>
      </c>
      <c r="K170" s="174">
        <v>7</v>
      </c>
      <c r="L170" s="173" t="s">
        <v>118</v>
      </c>
      <c r="M170" s="174">
        <v>333</v>
      </c>
      <c r="N170" s="173" t="s">
        <v>265</v>
      </c>
      <c r="O170" s="175">
        <v>31.262</v>
      </c>
    </row>
    <row r="171" spans="1:15">
      <c r="A171" s="173" t="s">
        <v>263</v>
      </c>
      <c r="B171" s="173" t="s">
        <v>142</v>
      </c>
      <c r="C171" s="173" t="s">
        <v>311</v>
      </c>
      <c r="D171" s="173" t="s">
        <v>265</v>
      </c>
      <c r="E171" s="173" t="s">
        <v>118</v>
      </c>
      <c r="F171" s="174">
        <v>11</v>
      </c>
      <c r="G171" s="175">
        <v>23.594999999999999</v>
      </c>
      <c r="H171" s="176">
        <v>49077.599999999999</v>
      </c>
      <c r="I171" s="177">
        <v>40</v>
      </c>
      <c r="J171" s="178">
        <v>43101</v>
      </c>
      <c r="K171" s="174">
        <v>7</v>
      </c>
      <c r="L171" s="173" t="s">
        <v>118</v>
      </c>
      <c r="M171" s="174">
        <v>333</v>
      </c>
      <c r="N171" s="173" t="s">
        <v>265</v>
      </c>
      <c r="O171" s="175">
        <v>31.262</v>
      </c>
    </row>
    <row r="172" spans="1:15">
      <c r="A172" s="173" t="s">
        <v>263</v>
      </c>
      <c r="B172" s="173" t="s">
        <v>144</v>
      </c>
      <c r="C172" s="173" t="s">
        <v>312</v>
      </c>
      <c r="D172" s="173" t="s">
        <v>265</v>
      </c>
      <c r="E172" s="173" t="s">
        <v>313</v>
      </c>
      <c r="F172" s="174">
        <v>1</v>
      </c>
      <c r="G172" s="175">
        <v>28.334</v>
      </c>
      <c r="H172" s="176">
        <v>58934.720000000001</v>
      </c>
      <c r="I172" s="177">
        <v>40</v>
      </c>
      <c r="J172" s="178">
        <v>43101</v>
      </c>
      <c r="K172" s="174">
        <v>5</v>
      </c>
      <c r="L172" s="173" t="s">
        <v>313</v>
      </c>
      <c r="M172" s="174">
        <v>265</v>
      </c>
      <c r="N172" s="173" t="s">
        <v>265</v>
      </c>
      <c r="O172" s="175">
        <v>28.890999999999998</v>
      </c>
    </row>
    <row r="173" spans="1:15">
      <c r="A173" s="173" t="s">
        <v>263</v>
      </c>
      <c r="B173" s="173" t="s">
        <v>144</v>
      </c>
      <c r="C173" s="173" t="s">
        <v>312</v>
      </c>
      <c r="D173" s="173" t="s">
        <v>265</v>
      </c>
      <c r="E173" s="173" t="s">
        <v>313</v>
      </c>
      <c r="F173" s="174">
        <v>2</v>
      </c>
      <c r="G173" s="175">
        <v>28.556999999999999</v>
      </c>
      <c r="H173" s="176">
        <v>59398.559999999998</v>
      </c>
      <c r="I173" s="177">
        <v>40</v>
      </c>
      <c r="J173" s="178">
        <v>43101</v>
      </c>
      <c r="K173" s="174">
        <v>5</v>
      </c>
      <c r="L173" s="173" t="s">
        <v>313</v>
      </c>
      <c r="M173" s="174">
        <v>265</v>
      </c>
      <c r="N173" s="173" t="s">
        <v>265</v>
      </c>
      <c r="O173" s="175">
        <v>28.890999999999998</v>
      </c>
    </row>
    <row r="174" spans="1:15">
      <c r="A174" s="173" t="s">
        <v>263</v>
      </c>
      <c r="B174" s="173" t="s">
        <v>144</v>
      </c>
      <c r="C174" s="173" t="s">
        <v>312</v>
      </c>
      <c r="D174" s="173" t="s">
        <v>265</v>
      </c>
      <c r="E174" s="173" t="s">
        <v>313</v>
      </c>
      <c r="F174" s="174">
        <v>3</v>
      </c>
      <c r="G174" s="175">
        <v>28.890999999999998</v>
      </c>
      <c r="H174" s="176">
        <v>60093.279999999999</v>
      </c>
      <c r="I174" s="177">
        <v>40</v>
      </c>
      <c r="J174" s="178">
        <v>43101</v>
      </c>
      <c r="K174" s="174">
        <v>5</v>
      </c>
      <c r="L174" s="173" t="s">
        <v>313</v>
      </c>
      <c r="M174" s="174">
        <v>265</v>
      </c>
      <c r="N174" s="173" t="s">
        <v>265</v>
      </c>
      <c r="O174" s="175">
        <v>28.890999999999998</v>
      </c>
    </row>
    <row r="175" spans="1:15">
      <c r="A175" s="173" t="s">
        <v>263</v>
      </c>
      <c r="B175" s="173" t="s">
        <v>144</v>
      </c>
      <c r="C175" s="173" t="s">
        <v>312</v>
      </c>
      <c r="D175" s="173" t="s">
        <v>265</v>
      </c>
      <c r="E175" s="173" t="s">
        <v>313</v>
      </c>
      <c r="F175" s="174">
        <v>11</v>
      </c>
      <c r="G175" s="175">
        <v>27.198</v>
      </c>
      <c r="H175" s="176">
        <v>56571.839999999997</v>
      </c>
      <c r="I175" s="177">
        <v>40</v>
      </c>
      <c r="J175" s="178">
        <v>43101</v>
      </c>
      <c r="K175" s="174">
        <v>5</v>
      </c>
      <c r="L175" s="173" t="s">
        <v>313</v>
      </c>
      <c r="M175" s="174">
        <v>265</v>
      </c>
      <c r="N175" s="173" t="s">
        <v>265</v>
      </c>
      <c r="O175" s="175">
        <v>28.890999999999998</v>
      </c>
    </row>
    <row r="176" spans="1:15">
      <c r="A176" s="173" t="s">
        <v>263</v>
      </c>
      <c r="B176" s="173" t="s">
        <v>146</v>
      </c>
      <c r="C176" s="173" t="s">
        <v>314</v>
      </c>
      <c r="D176" s="173" t="s">
        <v>265</v>
      </c>
      <c r="E176" s="173" t="s">
        <v>65</v>
      </c>
      <c r="F176" s="174">
        <v>1</v>
      </c>
      <c r="G176" s="175">
        <v>23.523</v>
      </c>
      <c r="H176" s="176">
        <v>48927.839999999997</v>
      </c>
      <c r="I176" s="177">
        <v>40</v>
      </c>
      <c r="J176" s="178">
        <v>43101</v>
      </c>
      <c r="K176" s="174">
        <v>5</v>
      </c>
      <c r="L176" s="173" t="s">
        <v>65</v>
      </c>
      <c r="M176" s="174">
        <v>253</v>
      </c>
      <c r="N176" s="173" t="s">
        <v>265</v>
      </c>
      <c r="O176" s="175">
        <v>26.140999999999998</v>
      </c>
    </row>
    <row r="177" spans="1:15">
      <c r="A177" s="173" t="s">
        <v>263</v>
      </c>
      <c r="B177" s="173" t="s">
        <v>146</v>
      </c>
      <c r="C177" s="173" t="s">
        <v>314</v>
      </c>
      <c r="D177" s="173" t="s">
        <v>265</v>
      </c>
      <c r="E177" s="173" t="s">
        <v>65</v>
      </c>
      <c r="F177" s="174">
        <v>2</v>
      </c>
      <c r="G177" s="175">
        <v>24.314</v>
      </c>
      <c r="H177" s="176">
        <v>50573.120000000003</v>
      </c>
      <c r="I177" s="177">
        <v>40</v>
      </c>
      <c r="J177" s="178">
        <v>43101</v>
      </c>
      <c r="K177" s="174">
        <v>5</v>
      </c>
      <c r="L177" s="173" t="s">
        <v>65</v>
      </c>
      <c r="M177" s="174">
        <v>253</v>
      </c>
      <c r="N177" s="173" t="s">
        <v>265</v>
      </c>
      <c r="O177" s="175">
        <v>26.140999999999998</v>
      </c>
    </row>
    <row r="178" spans="1:15">
      <c r="A178" s="173" t="s">
        <v>263</v>
      </c>
      <c r="B178" s="173" t="s">
        <v>146</v>
      </c>
      <c r="C178" s="173" t="s">
        <v>314</v>
      </c>
      <c r="D178" s="173" t="s">
        <v>265</v>
      </c>
      <c r="E178" s="173" t="s">
        <v>65</v>
      </c>
      <c r="F178" s="174">
        <v>3</v>
      </c>
      <c r="G178" s="175">
        <v>25.132000000000001</v>
      </c>
      <c r="H178" s="176">
        <v>52274.559999999998</v>
      </c>
      <c r="I178" s="177">
        <v>40</v>
      </c>
      <c r="J178" s="178">
        <v>43101</v>
      </c>
      <c r="K178" s="174">
        <v>5</v>
      </c>
      <c r="L178" s="173" t="s">
        <v>65</v>
      </c>
      <c r="M178" s="174">
        <v>253</v>
      </c>
      <c r="N178" s="173" t="s">
        <v>265</v>
      </c>
      <c r="O178" s="175">
        <v>26.140999999999998</v>
      </c>
    </row>
    <row r="179" spans="1:15">
      <c r="A179" s="173" t="s">
        <v>263</v>
      </c>
      <c r="B179" s="173" t="s">
        <v>146</v>
      </c>
      <c r="C179" s="173" t="s">
        <v>314</v>
      </c>
      <c r="D179" s="173" t="s">
        <v>265</v>
      </c>
      <c r="E179" s="173" t="s">
        <v>65</v>
      </c>
      <c r="F179" s="174">
        <v>4</v>
      </c>
      <c r="G179" s="175">
        <v>26.140999999999998</v>
      </c>
      <c r="H179" s="176">
        <v>54373.279999999999</v>
      </c>
      <c r="I179" s="177">
        <v>40</v>
      </c>
      <c r="J179" s="178">
        <v>43101</v>
      </c>
      <c r="K179" s="174">
        <v>5</v>
      </c>
      <c r="L179" s="173" t="s">
        <v>65</v>
      </c>
      <c r="M179" s="174">
        <v>253</v>
      </c>
      <c r="N179" s="173" t="s">
        <v>265</v>
      </c>
      <c r="O179" s="175">
        <v>26.140999999999998</v>
      </c>
    </row>
    <row r="180" spans="1:15">
      <c r="A180" s="173" t="s">
        <v>263</v>
      </c>
      <c r="B180" s="173" t="s">
        <v>146</v>
      </c>
      <c r="C180" s="173" t="s">
        <v>314</v>
      </c>
      <c r="D180" s="173" t="s">
        <v>265</v>
      </c>
      <c r="E180" s="173" t="s">
        <v>65</v>
      </c>
      <c r="F180" s="174">
        <v>11</v>
      </c>
      <c r="G180" s="175">
        <v>22.58</v>
      </c>
      <c r="H180" s="176">
        <v>46966.400000000001</v>
      </c>
      <c r="I180" s="177">
        <v>40</v>
      </c>
      <c r="J180" s="178">
        <v>43101</v>
      </c>
      <c r="K180" s="174">
        <v>5</v>
      </c>
      <c r="L180" s="173" t="s">
        <v>65</v>
      </c>
      <c r="M180" s="174">
        <v>253</v>
      </c>
      <c r="N180" s="173" t="s">
        <v>265</v>
      </c>
      <c r="O180" s="175">
        <v>26.140999999999998</v>
      </c>
    </row>
    <row r="181" spans="1:15">
      <c r="A181" s="173" t="s">
        <v>263</v>
      </c>
      <c r="B181" s="173" t="s">
        <v>148</v>
      </c>
      <c r="C181" s="173" t="s">
        <v>315</v>
      </c>
      <c r="D181" s="173" t="s">
        <v>265</v>
      </c>
      <c r="E181" s="173" t="s">
        <v>133</v>
      </c>
      <c r="F181" s="174">
        <v>1</v>
      </c>
      <c r="G181" s="175">
        <v>24.791</v>
      </c>
      <c r="H181" s="176">
        <v>51565.279999999999</v>
      </c>
      <c r="I181" s="177">
        <v>40</v>
      </c>
      <c r="J181" s="178">
        <v>43101</v>
      </c>
      <c r="K181" s="174">
        <v>6</v>
      </c>
      <c r="L181" s="173" t="s">
        <v>133</v>
      </c>
      <c r="M181" s="174">
        <v>275</v>
      </c>
      <c r="N181" s="173" t="s">
        <v>265</v>
      </c>
      <c r="O181" s="175">
        <v>28.501000000000001</v>
      </c>
    </row>
    <row r="182" spans="1:15">
      <c r="A182" s="173" t="s">
        <v>263</v>
      </c>
      <c r="B182" s="173" t="s">
        <v>148</v>
      </c>
      <c r="C182" s="173" t="s">
        <v>315</v>
      </c>
      <c r="D182" s="173" t="s">
        <v>265</v>
      </c>
      <c r="E182" s="173" t="s">
        <v>133</v>
      </c>
      <c r="F182" s="174">
        <v>2</v>
      </c>
      <c r="G182" s="175">
        <v>26.010999999999999</v>
      </c>
      <c r="H182" s="176">
        <v>54102.879999999997</v>
      </c>
      <c r="I182" s="177">
        <v>40</v>
      </c>
      <c r="J182" s="178">
        <v>43101</v>
      </c>
      <c r="K182" s="174">
        <v>6</v>
      </c>
      <c r="L182" s="173" t="s">
        <v>133</v>
      </c>
      <c r="M182" s="174">
        <v>275</v>
      </c>
      <c r="N182" s="173" t="s">
        <v>265</v>
      </c>
      <c r="O182" s="175">
        <v>28.501000000000001</v>
      </c>
    </row>
    <row r="183" spans="1:15">
      <c r="A183" s="173" t="s">
        <v>263</v>
      </c>
      <c r="B183" s="173" t="s">
        <v>148</v>
      </c>
      <c r="C183" s="173" t="s">
        <v>315</v>
      </c>
      <c r="D183" s="173" t="s">
        <v>265</v>
      </c>
      <c r="E183" s="173" t="s">
        <v>133</v>
      </c>
      <c r="F183" s="174">
        <v>3</v>
      </c>
      <c r="G183" s="175">
        <v>27.210999999999999</v>
      </c>
      <c r="H183" s="176">
        <v>56598.879999999997</v>
      </c>
      <c r="I183" s="177">
        <v>40</v>
      </c>
      <c r="J183" s="178">
        <v>43101</v>
      </c>
      <c r="K183" s="174">
        <v>6</v>
      </c>
      <c r="L183" s="173" t="s">
        <v>133</v>
      </c>
      <c r="M183" s="174">
        <v>275</v>
      </c>
      <c r="N183" s="173" t="s">
        <v>265</v>
      </c>
      <c r="O183" s="175">
        <v>28.501000000000001</v>
      </c>
    </row>
    <row r="184" spans="1:15">
      <c r="A184" s="173" t="s">
        <v>263</v>
      </c>
      <c r="B184" s="173" t="s">
        <v>148</v>
      </c>
      <c r="C184" s="173" t="s">
        <v>315</v>
      </c>
      <c r="D184" s="173" t="s">
        <v>265</v>
      </c>
      <c r="E184" s="173" t="s">
        <v>133</v>
      </c>
      <c r="F184" s="174">
        <v>4</v>
      </c>
      <c r="G184" s="175">
        <v>28.501000000000001</v>
      </c>
      <c r="H184" s="176">
        <v>59282.080000000002</v>
      </c>
      <c r="I184" s="177">
        <v>40</v>
      </c>
      <c r="J184" s="178">
        <v>43101</v>
      </c>
      <c r="K184" s="174">
        <v>6</v>
      </c>
      <c r="L184" s="173" t="s">
        <v>133</v>
      </c>
      <c r="M184" s="174">
        <v>275</v>
      </c>
      <c r="N184" s="173" t="s">
        <v>265</v>
      </c>
      <c r="O184" s="175">
        <v>28.501000000000001</v>
      </c>
    </row>
    <row r="185" spans="1:15">
      <c r="A185" s="173" t="s">
        <v>263</v>
      </c>
      <c r="B185" s="173" t="s">
        <v>148</v>
      </c>
      <c r="C185" s="173" t="s">
        <v>315</v>
      </c>
      <c r="D185" s="173" t="s">
        <v>265</v>
      </c>
      <c r="E185" s="173" t="s">
        <v>133</v>
      </c>
      <c r="F185" s="174">
        <v>11</v>
      </c>
      <c r="G185" s="175">
        <v>23.797000000000001</v>
      </c>
      <c r="H185" s="176">
        <v>49497.760000000002</v>
      </c>
      <c r="I185" s="177">
        <v>40</v>
      </c>
      <c r="J185" s="178">
        <v>43101</v>
      </c>
      <c r="K185" s="174">
        <v>6</v>
      </c>
      <c r="L185" s="173" t="s">
        <v>133</v>
      </c>
      <c r="M185" s="174">
        <v>275</v>
      </c>
      <c r="N185" s="173" t="s">
        <v>265</v>
      </c>
      <c r="O185" s="175">
        <v>28.501000000000001</v>
      </c>
    </row>
  </sheetData>
  <sheetProtection algorithmName="SHA-512" hashValue="FdlyXQVOervvV+dU+2M64QCDWrt41UhWnsXRLu2Q/2m8P+JwaxpYIauYxR5UJbDQ3an2lgXNE/rX0jrJrKTblA==" saltValue="SksKQqAovgQ5IvalB8SxXA==" spinCount="100000" sheet="1" objects="1" scenarios="1" selectLockedCells="1" selectUnlockedCells="1"/>
  <sortState xmlns:xlrd2="http://schemas.microsoft.com/office/spreadsheetml/2017/richdata2" ref="A2:P186">
    <sortCondition ref="C2:C186"/>
    <sortCondition ref="F2:F186"/>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147"/>
  <sheetViews>
    <sheetView topLeftCell="B1" zoomScaleNormal="100" workbookViewId="0">
      <selection activeCell="Q60" sqref="Q60"/>
    </sheetView>
  </sheetViews>
  <sheetFormatPr defaultColWidth="9.140625" defaultRowHeight="15"/>
  <cols>
    <col min="1" max="1" width="7.42578125" style="208" hidden="1" customWidth="1"/>
    <col min="2" max="2" width="5.42578125" style="159" customWidth="1"/>
    <col min="3" max="3" width="8.140625" style="210" customWidth="1"/>
    <col min="4" max="4" width="7.5703125" style="210" hidden="1" customWidth="1"/>
    <col min="5" max="5" width="126.5703125" style="159" hidden="1" customWidth="1"/>
    <col min="6" max="6" width="8.42578125" style="159" customWidth="1"/>
    <col min="7" max="7" width="9.5703125" style="159" customWidth="1"/>
    <col min="8" max="8" width="56" style="211" customWidth="1"/>
    <col min="9" max="9" width="9.140625" style="167" customWidth="1"/>
    <col min="10" max="11" width="9.140625" style="159" customWidth="1"/>
    <col min="12" max="13" width="10" style="159" customWidth="1"/>
    <col min="14" max="14" width="11.5703125" style="159" customWidth="1"/>
    <col min="15" max="15" width="8.5703125" style="159" customWidth="1"/>
    <col min="16" max="16" width="7.85546875" style="159" customWidth="1"/>
    <col min="17" max="17" width="5.5703125" style="227" bestFit="1" customWidth="1"/>
    <col min="18" max="18" width="79" style="227" hidden="1" customWidth="1"/>
    <col min="19" max="28" width="8.5703125" style="208" customWidth="1"/>
    <col min="29" max="16384" width="9.140625" style="208"/>
  </cols>
  <sheetData>
    <row r="1" spans="1:26">
      <c r="B1" s="209" t="s">
        <v>316</v>
      </c>
    </row>
    <row r="2" spans="1:26">
      <c r="A2" s="212"/>
      <c r="B2" s="212" t="s">
        <v>0</v>
      </c>
      <c r="C2" s="159"/>
      <c r="D2" s="211"/>
      <c r="E2" s="162"/>
      <c r="F2" s="162"/>
      <c r="G2" s="162"/>
      <c r="H2" s="162"/>
      <c r="I2" s="162"/>
      <c r="J2" s="162"/>
      <c r="K2" s="162"/>
    </row>
    <row r="3" spans="1:26">
      <c r="A3" s="212"/>
      <c r="B3" s="212" t="s">
        <v>317</v>
      </c>
      <c r="C3" s="209"/>
      <c r="D3" s="211"/>
      <c r="E3" s="213"/>
      <c r="F3" s="213"/>
      <c r="G3" s="213"/>
      <c r="H3" s="213"/>
      <c r="I3" s="213"/>
      <c r="J3" s="213"/>
      <c r="K3" s="213"/>
      <c r="S3" s="227"/>
      <c r="T3" s="227"/>
      <c r="U3" s="227"/>
      <c r="V3" s="227"/>
      <c r="W3" s="227"/>
      <c r="X3" s="227"/>
      <c r="Y3" s="227"/>
      <c r="Z3" s="227"/>
    </row>
    <row r="4" spans="1:26">
      <c r="B4" s="159" t="s">
        <v>318</v>
      </c>
      <c r="S4" s="227"/>
      <c r="T4" s="227"/>
      <c r="U4" s="227"/>
      <c r="V4" s="227"/>
      <c r="W4" s="227"/>
      <c r="X4" s="227"/>
      <c r="Y4" s="227"/>
      <c r="Z4" s="227"/>
    </row>
    <row r="5" spans="1:26" ht="45">
      <c r="A5" s="214" t="s">
        <v>2</v>
      </c>
      <c r="B5" s="216" t="s">
        <v>3</v>
      </c>
      <c r="C5" s="216" t="s">
        <v>4</v>
      </c>
      <c r="E5" s="216" t="s">
        <v>5</v>
      </c>
      <c r="F5" s="215" t="s">
        <v>6</v>
      </c>
      <c r="G5" s="216" t="s">
        <v>7</v>
      </c>
      <c r="H5" s="217" t="s">
        <v>8</v>
      </c>
      <c r="I5" s="213" t="s">
        <v>9</v>
      </c>
      <c r="J5" s="213" t="s">
        <v>10</v>
      </c>
      <c r="K5" s="213" t="s">
        <v>11</v>
      </c>
      <c r="L5" s="213" t="s">
        <v>12</v>
      </c>
      <c r="M5" s="213" t="s">
        <v>13</v>
      </c>
      <c r="N5" s="213" t="s">
        <v>14</v>
      </c>
      <c r="O5" s="213" t="s">
        <v>15</v>
      </c>
      <c r="R5" s="227" t="s">
        <v>16</v>
      </c>
      <c r="S5" s="227"/>
      <c r="T5" s="227"/>
      <c r="U5" s="227"/>
      <c r="V5" s="227"/>
      <c r="W5" s="227"/>
      <c r="X5" s="227"/>
      <c r="Y5" s="227"/>
      <c r="Z5" s="227"/>
    </row>
    <row r="6" spans="1:26">
      <c r="A6" s="218">
        <v>228</v>
      </c>
      <c r="B6" s="162">
        <v>5</v>
      </c>
      <c r="C6" s="162" t="s">
        <v>17</v>
      </c>
      <c r="D6" s="162" t="s">
        <v>18</v>
      </c>
      <c r="E6" s="219">
        <v>15</v>
      </c>
      <c r="F6" s="219">
        <v>15</v>
      </c>
      <c r="G6" s="162" t="s">
        <v>45</v>
      </c>
      <c r="H6" s="211" t="s">
        <v>46</v>
      </c>
      <c r="I6" s="220">
        <f>(('CLB 12 31 2017 999999'!I12+1.43)*1.022)-1.58</f>
        <v>28.497459999999997</v>
      </c>
      <c r="J6" s="220"/>
      <c r="K6" s="220"/>
      <c r="L6" s="220"/>
      <c r="P6" s="208"/>
      <c r="Q6" s="208"/>
      <c r="R6" s="227" t="s">
        <v>23</v>
      </c>
      <c r="S6" s="227"/>
      <c r="T6" s="227"/>
      <c r="U6" s="227"/>
      <c r="V6" s="227"/>
      <c r="W6" s="227"/>
      <c r="X6" s="227"/>
      <c r="Y6" s="227"/>
      <c r="Z6" s="227"/>
    </row>
    <row r="7" spans="1:26">
      <c r="A7" s="218">
        <v>228</v>
      </c>
      <c r="B7" s="162">
        <v>5</v>
      </c>
      <c r="C7" s="162" t="s">
        <v>17</v>
      </c>
      <c r="D7" s="162" t="s">
        <v>18</v>
      </c>
      <c r="E7" s="219" t="s">
        <v>19</v>
      </c>
      <c r="F7" s="219" t="s">
        <v>319</v>
      </c>
      <c r="G7" s="162" t="s">
        <v>21</v>
      </c>
      <c r="H7" s="223" t="s">
        <v>320</v>
      </c>
      <c r="I7" s="220">
        <f>(('CLB 12 31 2017 999999'!I5+1.43)*1.022)-1.58</f>
        <v>24.828838466850961</v>
      </c>
      <c r="J7" s="220">
        <f>(('CLB 12 31 2017 999999'!J5+1.43)*1.022)-1.58</f>
        <v>25.604494976158705</v>
      </c>
      <c r="K7" s="220">
        <f>(('CLB 12 31 2017 999999'!K5+1.43)*1.022)-1.58</f>
        <v>26.403421180745674</v>
      </c>
      <c r="L7" s="220">
        <f>(('CLB 12 31 2017 999999'!L5+1.43)*1.022)-1.58</f>
        <v>27.226315171470262</v>
      </c>
      <c r="M7" s="221"/>
      <c r="N7" s="222"/>
      <c r="O7" s="220"/>
      <c r="P7" s="227"/>
      <c r="R7" s="227" t="s">
        <v>27</v>
      </c>
      <c r="S7" s="227"/>
      <c r="T7" s="227"/>
      <c r="U7" s="227"/>
      <c r="V7" s="227"/>
      <c r="W7" s="227"/>
      <c r="X7" s="227"/>
      <c r="Y7" s="227"/>
      <c r="Z7" s="227"/>
    </row>
    <row r="8" spans="1:26" ht="17.25" customHeight="1">
      <c r="A8" s="218">
        <v>228</v>
      </c>
      <c r="B8" s="162">
        <v>5</v>
      </c>
      <c r="C8" s="162" t="s">
        <v>17</v>
      </c>
      <c r="D8" s="162" t="s">
        <v>18</v>
      </c>
      <c r="E8" s="219" t="s">
        <v>19</v>
      </c>
      <c r="F8" s="219" t="s">
        <v>321</v>
      </c>
      <c r="G8" s="162" t="s">
        <v>25</v>
      </c>
      <c r="H8" s="223" t="s">
        <v>26</v>
      </c>
      <c r="I8" s="220">
        <f>(('CLB 12 31 2017 999999'!I6+1.43)*1.022)-1.58</f>
        <v>25.243766447220644</v>
      </c>
      <c r="J8" s="220">
        <f>(('CLB 12 31 2017 999999'!J6+1.43)*1.022)-1.58</f>
        <v>26.019422956528388</v>
      </c>
      <c r="K8" s="220">
        <f>(('CLB 12 31 2017 999999'!K6+1.43)*1.022)-1.58</f>
        <v>26.818349161115357</v>
      </c>
      <c r="L8" s="220">
        <f>(('CLB 12 31 2017 999999'!L6+1.43)*1.022)-1.58</f>
        <v>27.641243151839937</v>
      </c>
      <c r="M8" s="221"/>
      <c r="N8" s="222"/>
      <c r="O8" s="220"/>
      <c r="P8" s="227"/>
      <c r="R8" s="227" t="s">
        <v>29</v>
      </c>
      <c r="S8" s="227"/>
      <c r="T8" s="227"/>
      <c r="U8" s="227"/>
      <c r="V8" s="227"/>
      <c r="W8" s="227"/>
      <c r="X8" s="227"/>
      <c r="Y8" s="227"/>
      <c r="Z8" s="227"/>
    </row>
    <row r="9" spans="1:26">
      <c r="A9" s="218">
        <v>280</v>
      </c>
      <c r="B9" s="162">
        <v>6</v>
      </c>
      <c r="C9" s="162" t="s">
        <v>17</v>
      </c>
      <c r="D9" s="162" t="s">
        <v>18</v>
      </c>
      <c r="E9" s="219">
        <v>18</v>
      </c>
      <c r="F9" s="219">
        <v>18</v>
      </c>
      <c r="G9" s="162" t="s">
        <v>50</v>
      </c>
      <c r="H9" s="211" t="s">
        <v>51</v>
      </c>
      <c r="I9" s="220">
        <f>(('CLB 12 31 2017 999999'!I14+1.43)*1.022)-1.58</f>
        <v>31.92116</v>
      </c>
      <c r="J9" s="220"/>
      <c r="K9" s="220"/>
      <c r="L9" s="220"/>
      <c r="N9" s="222"/>
      <c r="O9" s="220"/>
      <c r="P9" s="208"/>
      <c r="Q9" s="208"/>
      <c r="R9" s="227" t="s">
        <v>33</v>
      </c>
      <c r="S9" s="227"/>
      <c r="T9" s="227"/>
      <c r="U9" s="227"/>
      <c r="V9" s="227"/>
      <c r="W9" s="227"/>
      <c r="X9" s="227"/>
      <c r="Y9" s="227"/>
      <c r="Z9" s="227"/>
    </row>
    <row r="10" spans="1:26" ht="17.25" customHeight="1">
      <c r="A10" s="218">
        <v>280</v>
      </c>
      <c r="B10" s="162">
        <v>6</v>
      </c>
      <c r="C10" s="162" t="s">
        <v>17</v>
      </c>
      <c r="D10" s="162" t="s">
        <v>18</v>
      </c>
      <c r="E10" s="219" t="s">
        <v>19</v>
      </c>
      <c r="F10" s="219" t="s">
        <v>321</v>
      </c>
      <c r="G10" s="162" t="s">
        <v>31</v>
      </c>
      <c r="H10" s="223" t="s">
        <v>32</v>
      </c>
      <c r="I10" s="220">
        <f>(('CLB 12 31 2017 999999'!I8+1.43)*1.022)-1.58</f>
        <v>25.243766447220644</v>
      </c>
      <c r="J10" s="220">
        <f>(('CLB 12 31 2017 999999'!J8+1.43)*1.022)-1.58</f>
        <v>26.019422956528388</v>
      </c>
      <c r="K10" s="220">
        <f>(('CLB 12 31 2017 999999'!K8+1.43)*1.022)-1.58</f>
        <v>26.818349161115357</v>
      </c>
      <c r="L10" s="220">
        <f>(('CLB 12 31 2017 999999'!L8+1.43)*1.022)-1.58</f>
        <v>27.641243151839937</v>
      </c>
      <c r="M10" s="221"/>
      <c r="N10" s="222"/>
      <c r="O10" s="220"/>
      <c r="P10" s="208"/>
      <c r="Q10" s="208"/>
      <c r="S10" s="227"/>
      <c r="T10" s="227"/>
      <c r="U10" s="227"/>
      <c r="V10" s="227"/>
      <c r="W10" s="227"/>
      <c r="X10" s="227"/>
      <c r="Y10" s="227"/>
      <c r="Z10" s="227"/>
    </row>
    <row r="11" spans="1:26">
      <c r="A11" s="218">
        <v>280</v>
      </c>
      <c r="B11" s="162">
        <v>6</v>
      </c>
      <c r="C11" s="162" t="s">
        <v>17</v>
      </c>
      <c r="D11" s="162" t="s">
        <v>18</v>
      </c>
      <c r="E11" s="219" t="s">
        <v>19</v>
      </c>
      <c r="F11" s="219" t="s">
        <v>322</v>
      </c>
      <c r="G11" s="162" t="s">
        <v>35</v>
      </c>
      <c r="H11" s="223" t="s">
        <v>36</v>
      </c>
      <c r="I11" s="220">
        <f>(('CLB 12 31 2017 999999'!I9+1.43)*1.022)-1.58</f>
        <v>25.599419001823222</v>
      </c>
      <c r="J11" s="220">
        <f>(('CLB 12 31 2017 999999'!J9+1.43)*1.022)-1.58</f>
        <v>26.375075511130966</v>
      </c>
      <c r="K11" s="220">
        <f>(('CLB 12 31 2017 999999'!K9+1.43)*1.022)-1.58</f>
        <v>27.174001715717935</v>
      </c>
      <c r="L11" s="220">
        <f>(('CLB 12 31 2017 999999'!L9+1.43)*1.022)-1.58</f>
        <v>27.996895706442523</v>
      </c>
      <c r="M11" s="221"/>
      <c r="N11" s="222"/>
      <c r="O11" s="220"/>
      <c r="P11" s="208"/>
      <c r="Q11" s="208"/>
      <c r="S11" s="227"/>
      <c r="T11" s="227"/>
      <c r="U11" s="227"/>
      <c r="V11" s="227"/>
      <c r="W11" s="227"/>
      <c r="X11" s="227"/>
      <c r="Y11" s="227"/>
      <c r="Z11" s="227"/>
    </row>
    <row r="12" spans="1:26">
      <c r="A12" s="218">
        <v>280</v>
      </c>
      <c r="B12" s="162">
        <v>6</v>
      </c>
      <c r="C12" s="162" t="s">
        <v>17</v>
      </c>
      <c r="D12" s="162" t="s">
        <v>18</v>
      </c>
      <c r="E12" s="219" t="s">
        <v>19</v>
      </c>
      <c r="F12" s="219" t="s">
        <v>323</v>
      </c>
      <c r="G12" s="162" t="s">
        <v>39</v>
      </c>
      <c r="H12" s="223" t="s">
        <v>40</v>
      </c>
      <c r="I12" s="220">
        <f>(('CLB 12 31 2017 999999'!I10+1.43)*1.022)-1.58</f>
        <v>26.725652091398068</v>
      </c>
      <c r="J12" s="220">
        <f>(('CLB 12 31 2017 999999'!J10+1.43)*1.022)-1.58</f>
        <v>27.501308600705812</v>
      </c>
      <c r="K12" s="220">
        <f>(('CLB 12 31 2017 999999'!K10+1.43)*1.022)-1.58</f>
        <v>28.300234805292781</v>
      </c>
      <c r="L12" s="220">
        <f>(('CLB 12 31 2017 999999'!L10+1.43)*1.022)-1.58</f>
        <v>29.123128796017369</v>
      </c>
      <c r="M12" s="221"/>
      <c r="N12" s="222"/>
      <c r="O12" s="220"/>
      <c r="P12" s="208"/>
      <c r="Q12" s="208"/>
      <c r="R12" s="208"/>
    </row>
    <row r="13" spans="1:26">
      <c r="A13" s="218">
        <v>280</v>
      </c>
      <c r="B13" s="162">
        <v>6</v>
      </c>
      <c r="C13" s="162" t="s">
        <v>17</v>
      </c>
      <c r="D13" s="162" t="s">
        <v>18</v>
      </c>
      <c r="E13" s="219" t="s">
        <v>19</v>
      </c>
      <c r="F13" s="219" t="s">
        <v>324</v>
      </c>
      <c r="G13" s="162" t="s">
        <v>42</v>
      </c>
      <c r="H13" s="223" t="s">
        <v>43</v>
      </c>
      <c r="I13" s="220">
        <f>(('CLB 12 31 2017 999999'!I11+1.43)*1.022)-1.58</f>
        <v>27.614783477904531</v>
      </c>
      <c r="J13" s="220">
        <f>(('CLB 12 31 2017 999999'!J11+1.43)*1.022)-1.58</f>
        <v>28.390439987212275</v>
      </c>
      <c r="K13" s="220">
        <f>(('CLB 12 31 2017 999999'!K11+1.43)*1.022)-1.58</f>
        <v>29.189366191799245</v>
      </c>
      <c r="L13" s="220">
        <f>(('CLB 12 31 2017 999999'!L11+1.43)*1.022)-1.58</f>
        <v>30.012260182523825</v>
      </c>
      <c r="M13" s="221"/>
      <c r="N13" s="222"/>
      <c r="O13" s="220"/>
      <c r="P13" s="208"/>
      <c r="Q13" s="208"/>
      <c r="R13" s="208"/>
    </row>
    <row r="14" spans="1:26">
      <c r="A14" s="218">
        <v>178</v>
      </c>
      <c r="B14" s="162">
        <v>3</v>
      </c>
      <c r="C14" s="162" t="s">
        <v>17</v>
      </c>
      <c r="D14" s="162" t="s">
        <v>18</v>
      </c>
      <c r="E14" s="219" t="s">
        <v>47</v>
      </c>
      <c r="F14" s="219" t="s">
        <v>47</v>
      </c>
      <c r="G14" s="162" t="s">
        <v>48</v>
      </c>
      <c r="H14" s="211" t="s">
        <v>49</v>
      </c>
      <c r="I14" s="220">
        <f>(('CLB 12 31 2017 999999'!I13+1.43)*1.022)-1.58</f>
        <v>14.977807336746677</v>
      </c>
      <c r="J14" s="220">
        <f>(('CLB 12 31 2017 999999'!J13+1.43)*1.022)-1.58</f>
        <v>17.427029695475554</v>
      </c>
      <c r="K14" s="220">
        <f>(('CLB 12 31 2017 999999'!K13+1.43)*1.022)-1.58</f>
        <v>18.429986251375034</v>
      </c>
      <c r="L14" s="220">
        <f>(('CLB 12 31 2017 999999'!L13+1.43)*1.022)-1.58</f>
        <v>23.16188384843921</v>
      </c>
      <c r="M14" s="220"/>
      <c r="N14" s="267"/>
      <c r="O14" s="267"/>
      <c r="P14" s="208"/>
      <c r="Q14" s="208"/>
      <c r="R14" s="208"/>
    </row>
    <row r="15" spans="1:26">
      <c r="A15" s="218">
        <v>188</v>
      </c>
      <c r="B15" s="162">
        <v>4</v>
      </c>
      <c r="C15" s="162" t="s">
        <v>17</v>
      </c>
      <c r="D15" s="162" t="s">
        <v>18</v>
      </c>
      <c r="E15" s="219" t="s">
        <v>52</v>
      </c>
      <c r="F15" s="219" t="s">
        <v>52</v>
      </c>
      <c r="G15" s="162" t="s">
        <v>53</v>
      </c>
      <c r="H15" s="211" t="s">
        <v>54</v>
      </c>
      <c r="I15" s="220">
        <f>(('CLB 12 31 2017 999999'!I15+1.43)*1.022)-1.58</f>
        <v>18.047907563413325</v>
      </c>
      <c r="J15" s="220">
        <f>(('CLB 12 31 2017 999999'!J15+1.43)*1.022)-1.58</f>
        <v>20.710212267351608</v>
      </c>
      <c r="K15" s="220">
        <f>(('CLB 12 31 2017 999999'!K15+1.43)*1.022)-1.58</f>
        <v>25.064929621171558</v>
      </c>
      <c r="O15" s="159" t="s">
        <v>55</v>
      </c>
      <c r="P15" s="208"/>
      <c r="Q15" s="208"/>
      <c r="R15" s="208"/>
    </row>
    <row r="16" spans="1:26">
      <c r="A16" s="218">
        <v>188</v>
      </c>
      <c r="B16" s="162">
        <v>4</v>
      </c>
      <c r="C16" s="162" t="s">
        <v>17</v>
      </c>
      <c r="D16" s="162" t="s">
        <v>18</v>
      </c>
      <c r="E16" s="219" t="s">
        <v>52</v>
      </c>
      <c r="F16" s="219" t="s">
        <v>52</v>
      </c>
      <c r="G16" s="162" t="s">
        <v>56</v>
      </c>
      <c r="H16" s="211" t="s">
        <v>57</v>
      </c>
      <c r="I16" s="220">
        <f>(('CLB 12 31 2017 999999'!I16+1.43)*1.022)-1.58</f>
        <v>18.047907563413325</v>
      </c>
      <c r="J16" s="220">
        <f>(('CLB 12 31 2017 999999'!J16+1.43)*1.022)-1.58</f>
        <v>20.710212267351608</v>
      </c>
      <c r="K16" s="220">
        <f>(('CLB 12 31 2017 999999'!K16+1.43)*1.022)-1.58</f>
        <v>25.064929621171558</v>
      </c>
      <c r="N16" s="222"/>
      <c r="O16" s="220"/>
      <c r="P16" s="208"/>
      <c r="Q16" s="208"/>
      <c r="R16" s="208"/>
    </row>
    <row r="17" spans="1:20">
      <c r="A17" s="218">
        <v>153</v>
      </c>
      <c r="B17" s="162">
        <v>3</v>
      </c>
      <c r="C17" s="162" t="s">
        <v>17</v>
      </c>
      <c r="D17" s="162" t="s">
        <v>18</v>
      </c>
      <c r="E17" s="219" t="s">
        <v>47</v>
      </c>
      <c r="F17" s="219" t="s">
        <v>47</v>
      </c>
      <c r="G17" s="162" t="s">
        <v>58</v>
      </c>
      <c r="H17" s="211" t="s">
        <v>59</v>
      </c>
      <c r="I17" s="220">
        <f>(('CLB 12 31 2017 999999'!I17+1.43)*1.022)-1.58</f>
        <v>14.977807336746677</v>
      </c>
      <c r="J17" s="220">
        <f>(('CLB 12 31 2017 999999'!J17+1.43)*1.022)-1.58</f>
        <v>17.427029695475554</v>
      </c>
      <c r="K17" s="220">
        <f>(('CLB 12 31 2017 999999'!K17+1.43)*1.022)-1.58</f>
        <v>18.429986251375034</v>
      </c>
      <c r="L17" s="220">
        <f>(('CLB 12 31 2017 999999'!L17+1.43)*1.022)-1.58</f>
        <v>23.16188384843921</v>
      </c>
      <c r="N17" s="222"/>
      <c r="O17" s="220"/>
      <c r="P17" s="208"/>
      <c r="Q17" s="208"/>
      <c r="R17" s="208"/>
    </row>
    <row r="18" spans="1:20">
      <c r="A18" s="218">
        <v>160</v>
      </c>
      <c r="B18" s="162">
        <v>3</v>
      </c>
      <c r="C18" s="162" t="s">
        <v>17</v>
      </c>
      <c r="D18" s="162" t="s">
        <v>18</v>
      </c>
      <c r="E18" s="219" t="s">
        <v>47</v>
      </c>
      <c r="F18" s="219" t="s">
        <v>47</v>
      </c>
      <c r="G18" s="162" t="s">
        <v>60</v>
      </c>
      <c r="H18" s="211" t="s">
        <v>61</v>
      </c>
      <c r="I18" s="220">
        <f>(('CLB 12 31 2017 999999'!I18+1.43)*1.022)-1.58</f>
        <v>14.977807336746677</v>
      </c>
      <c r="J18" s="220">
        <f>(('CLB 12 31 2017 999999'!J18+1.43)*1.022)-1.58</f>
        <v>17.427029695475554</v>
      </c>
      <c r="K18" s="220">
        <f>(('CLB 12 31 2017 999999'!K18+1.43)*1.022)-1.58</f>
        <v>18.429986251375034</v>
      </c>
      <c r="L18" s="220">
        <f>(('CLB 12 31 2017 999999'!L18+1.43)*1.022)-1.58</f>
        <v>23.16188384843921</v>
      </c>
      <c r="M18" s="220"/>
      <c r="N18" s="222"/>
      <c r="O18" s="220"/>
      <c r="P18" s="208"/>
      <c r="Q18" s="208"/>
      <c r="R18" s="208"/>
    </row>
    <row r="19" spans="1:20">
      <c r="A19" s="218">
        <v>190</v>
      </c>
      <c r="B19" s="162">
        <v>4</v>
      </c>
      <c r="C19" s="162" t="s">
        <v>17</v>
      </c>
      <c r="D19" s="162" t="s">
        <v>18</v>
      </c>
      <c r="E19" s="219" t="s">
        <v>62</v>
      </c>
      <c r="F19" s="219" t="s">
        <v>62</v>
      </c>
      <c r="G19" s="162" t="s">
        <v>63</v>
      </c>
      <c r="H19" s="211" t="s">
        <v>64</v>
      </c>
      <c r="I19" s="220">
        <f>(('CLB 12 31 2017 999999'!I19+1.43)*1.022)-1.58</f>
        <v>15.44805802962262</v>
      </c>
      <c r="J19" s="220">
        <f>(('CLB 12 31 2017 999999'!J19+1.43)*1.022)-1.58</f>
        <v>17.978104726189557</v>
      </c>
      <c r="K19" s="220">
        <f>(('CLB 12 31 2017 999999'!K19+1.43)*1.022)-1.58</f>
        <v>20.677147765508771</v>
      </c>
      <c r="L19" s="220">
        <f>(('CLB 12 31 2017 999999'!L19+1.43)*1.022)-1.58</f>
        <v>24.962062282104938</v>
      </c>
      <c r="M19" s="220"/>
      <c r="N19" s="222"/>
      <c r="O19" s="220"/>
      <c r="P19" s="208"/>
      <c r="Q19" s="208"/>
      <c r="R19" s="208"/>
    </row>
    <row r="20" spans="1:20">
      <c r="A20" s="218">
        <v>263</v>
      </c>
      <c r="B20" s="162">
        <v>5</v>
      </c>
      <c r="C20" s="162" t="s">
        <v>17</v>
      </c>
      <c r="D20" s="162" t="s">
        <v>18</v>
      </c>
      <c r="E20" s="219" t="s">
        <v>65</v>
      </c>
      <c r="F20" s="219" t="s">
        <v>65</v>
      </c>
      <c r="G20" s="162" t="s">
        <v>66</v>
      </c>
      <c r="H20" s="211" t="s">
        <v>67</v>
      </c>
      <c r="I20" s="220">
        <f>(('CLB 12 31 2017 999999'!I20+1.43)*1.022)-1.58</f>
        <v>24.075443788245089</v>
      </c>
      <c r="J20" s="220">
        <f>(('CLB 12 31 2017 999999'!J20+1.43)*1.022)-1.58</f>
        <v>24.883687166625613</v>
      </c>
      <c r="K20" s="220">
        <f>(('CLB 12 31 2017 999999'!K20+1.43)*1.022)-1.58</f>
        <v>25.720096602131527</v>
      </c>
      <c r="L20" s="220">
        <f>(('CLB 12 31 2017 999999'!L20+1.43)*1.022)-1.58</f>
        <v>26.751219215156382</v>
      </c>
      <c r="N20" s="222"/>
      <c r="O20" s="220"/>
      <c r="P20" s="208"/>
      <c r="Q20" s="208"/>
      <c r="R20" s="208"/>
    </row>
    <row r="21" spans="1:20">
      <c r="A21" s="218">
        <v>205</v>
      </c>
      <c r="B21" s="162">
        <v>4</v>
      </c>
      <c r="C21" s="162" t="s">
        <v>17</v>
      </c>
      <c r="D21" s="162" t="s">
        <v>18</v>
      </c>
      <c r="E21" s="219">
        <v>11</v>
      </c>
      <c r="F21" s="219">
        <v>11</v>
      </c>
      <c r="G21" s="162" t="s">
        <v>68</v>
      </c>
      <c r="H21" s="211" t="s">
        <v>325</v>
      </c>
      <c r="I21" s="220">
        <f>(('CLB 12 31 2017 999999'!I21+1.43)*1.022)-1.58</f>
        <v>27.328218534580294</v>
      </c>
      <c r="J21" s="220"/>
      <c r="N21" s="222"/>
      <c r="O21" s="220"/>
      <c r="P21" s="227"/>
      <c r="R21" s="208"/>
      <c r="S21" s="227"/>
    </row>
    <row r="22" spans="1:20">
      <c r="A22" s="218">
        <v>205</v>
      </c>
      <c r="B22" s="162">
        <v>4</v>
      </c>
      <c r="C22" s="162" t="s">
        <v>17</v>
      </c>
      <c r="D22" s="162" t="s">
        <v>18</v>
      </c>
      <c r="E22" s="219" t="s">
        <v>19</v>
      </c>
      <c r="F22" s="219" t="s">
        <v>319</v>
      </c>
      <c r="G22" s="162" t="s">
        <v>71</v>
      </c>
      <c r="H22" s="223" t="s">
        <v>72</v>
      </c>
      <c r="I22" s="220">
        <f>(('CLB 12 31 2017 999999'!I22+1.43)*1.022)-1.58</f>
        <v>24.828838466850961</v>
      </c>
      <c r="J22" s="220">
        <f>(('CLB 12 31 2017 999999'!J22+1.43)*1.022)-1.58</f>
        <v>25.604494976158705</v>
      </c>
      <c r="K22" s="220">
        <f>(('CLB 12 31 2017 999999'!K22+1.43)*1.022)-1.58</f>
        <v>26.403421180745674</v>
      </c>
      <c r="L22" s="220">
        <f>(('CLB 12 31 2017 999999'!L22+1.43)*1.022)-1.58</f>
        <v>27.226315171470262</v>
      </c>
      <c r="M22" s="221"/>
      <c r="N22" s="222"/>
      <c r="O22" s="220"/>
      <c r="P22" s="227"/>
      <c r="R22" s="208"/>
    </row>
    <row r="23" spans="1:20" ht="30">
      <c r="A23" s="218">
        <v>205</v>
      </c>
      <c r="B23" s="162">
        <v>4</v>
      </c>
      <c r="C23" s="162" t="s">
        <v>17</v>
      </c>
      <c r="D23" s="162" t="s">
        <v>18</v>
      </c>
      <c r="E23" s="219" t="s">
        <v>19</v>
      </c>
      <c r="F23" s="219" t="s">
        <v>321</v>
      </c>
      <c r="G23" s="162" t="s">
        <v>74</v>
      </c>
      <c r="H23" s="223" t="s">
        <v>326</v>
      </c>
      <c r="I23" s="220">
        <f>(('CLB 12 31 2017 999999'!I23+1.43)*1.022)-1.58</f>
        <v>25.243766447220644</v>
      </c>
      <c r="J23" s="220">
        <f>(('CLB 12 31 2017 999999'!J23+1.43)*1.022)-1.58</f>
        <v>26.019422956528388</v>
      </c>
      <c r="K23" s="220">
        <f>(('CLB 12 31 2017 999999'!K23+1.43)*1.022)-1.58</f>
        <v>26.818349161115357</v>
      </c>
      <c r="L23" s="220">
        <f>(('CLB 12 31 2017 999999'!L23+1.43)*1.022)-1.58</f>
        <v>27.641243151839937</v>
      </c>
      <c r="M23" s="221"/>
      <c r="N23" s="222"/>
      <c r="O23" s="220"/>
      <c r="P23" s="224"/>
      <c r="Q23" s="208"/>
      <c r="R23" s="208"/>
      <c r="T23" s="272"/>
    </row>
    <row r="24" spans="1:20">
      <c r="A24" s="218">
        <v>205</v>
      </c>
      <c r="B24" s="162">
        <v>4</v>
      </c>
      <c r="C24" s="162" t="s">
        <v>17</v>
      </c>
      <c r="D24" s="162" t="s">
        <v>18</v>
      </c>
      <c r="E24" s="219" t="s">
        <v>76</v>
      </c>
      <c r="F24" s="219" t="s">
        <v>76</v>
      </c>
      <c r="G24" s="162" t="s">
        <v>77</v>
      </c>
      <c r="H24" s="211" t="s">
        <v>327</v>
      </c>
      <c r="I24" s="220">
        <f>(('CLB 12 31 2017 999999'!I24+1.43)*1.022)-1.58</f>
        <v>27.60794817499162</v>
      </c>
      <c r="N24" s="222"/>
      <c r="O24" s="220"/>
      <c r="P24" s="225"/>
      <c r="R24" s="208"/>
      <c r="S24" s="227"/>
      <c r="T24" s="272"/>
    </row>
    <row r="25" spans="1:20">
      <c r="A25" s="218">
        <v>205</v>
      </c>
      <c r="B25" s="162">
        <v>4</v>
      </c>
      <c r="C25" s="162" t="s">
        <v>17</v>
      </c>
      <c r="D25" s="162" t="s">
        <v>18</v>
      </c>
      <c r="E25" s="219" t="s">
        <v>19</v>
      </c>
      <c r="F25" s="219" t="s">
        <v>319</v>
      </c>
      <c r="G25" s="162" t="s">
        <v>80</v>
      </c>
      <c r="H25" s="223" t="s">
        <v>328</v>
      </c>
      <c r="I25" s="220">
        <f>(('CLB 12 31 2017 999999'!I25+1.43)*1.022)-1.58</f>
        <v>24.828838466850961</v>
      </c>
      <c r="J25" s="220">
        <f>(('CLB 12 31 2017 999999'!J25+1.43)*1.022)-1.58</f>
        <v>25.604494976158705</v>
      </c>
      <c r="K25" s="220">
        <f>(('CLB 12 31 2017 999999'!K25+1.43)*1.022)-1.58</f>
        <v>26.403421180745674</v>
      </c>
      <c r="L25" s="220">
        <f>(('CLB 12 31 2017 999999'!L25+1.43)*1.022)-1.58</f>
        <v>27.226315171470262</v>
      </c>
      <c r="M25" s="221"/>
      <c r="N25" s="222"/>
      <c r="O25" s="220"/>
      <c r="P25" s="226"/>
      <c r="R25" s="208"/>
    </row>
    <row r="26" spans="1:20" ht="30">
      <c r="A26" s="218">
        <v>205</v>
      </c>
      <c r="B26" s="162">
        <v>4</v>
      </c>
      <c r="C26" s="162" t="s">
        <v>17</v>
      </c>
      <c r="D26" s="162" t="s">
        <v>18</v>
      </c>
      <c r="E26" s="219" t="s">
        <v>19</v>
      </c>
      <c r="F26" s="219" t="s">
        <v>321</v>
      </c>
      <c r="G26" s="162" t="s">
        <v>83</v>
      </c>
      <c r="H26" s="223" t="s">
        <v>329</v>
      </c>
      <c r="I26" s="220">
        <f>(('CLB 12 31 2017 999999'!I26+1.43)*1.022)-1.58</f>
        <v>25.243766447220644</v>
      </c>
      <c r="J26" s="220">
        <f>(('CLB 12 31 2017 999999'!J26+1.43)*1.022)-1.58</f>
        <v>26.019422956528388</v>
      </c>
      <c r="K26" s="220">
        <f>(('CLB 12 31 2017 999999'!K26+1.43)*1.022)-1.58</f>
        <v>26.818349161115357</v>
      </c>
      <c r="L26" s="220">
        <f>(('CLB 12 31 2017 999999'!L26+1.43)*1.022)-1.58</f>
        <v>27.641243151839937</v>
      </c>
      <c r="M26" s="221"/>
      <c r="N26" s="222"/>
      <c r="O26" s="220"/>
      <c r="P26" s="227"/>
      <c r="R26" s="208"/>
    </row>
    <row r="27" spans="1:20" ht="30">
      <c r="A27" s="218">
        <v>205</v>
      </c>
      <c r="B27" s="162">
        <v>4</v>
      </c>
      <c r="C27" s="162" t="s">
        <v>17</v>
      </c>
      <c r="D27" s="162" t="s">
        <v>18</v>
      </c>
      <c r="E27" s="219" t="s">
        <v>19</v>
      </c>
      <c r="F27" s="219" t="s">
        <v>330</v>
      </c>
      <c r="G27" s="162" t="s">
        <v>86</v>
      </c>
      <c r="H27" s="223" t="s">
        <v>331</v>
      </c>
      <c r="I27" s="220">
        <f>(('CLB 12 31 2017 999999'!I27+1.43)*1.022)-1.58</f>
        <v>25.480868150289027</v>
      </c>
      <c r="J27" s="220">
        <f>(('CLB 12 31 2017 999999'!J27+1.43)*1.022)-1.58</f>
        <v>26.256524659596771</v>
      </c>
      <c r="K27" s="220">
        <f>(('CLB 12 31 2017 999999'!K27+1.43)*1.022)-1.58</f>
        <v>27.05545086418374</v>
      </c>
      <c r="L27" s="220">
        <f>(('CLB 12 31 2017 999999'!L27+1.43)*1.022)-1.58</f>
        <v>27.878344854908327</v>
      </c>
      <c r="M27" s="221"/>
      <c r="N27" s="222"/>
      <c r="O27" s="220"/>
      <c r="P27" s="227"/>
      <c r="R27" s="208"/>
    </row>
    <row r="28" spans="1:20">
      <c r="A28" s="218">
        <v>205</v>
      </c>
      <c r="B28" s="162">
        <v>4</v>
      </c>
      <c r="C28" s="162" t="s">
        <v>17</v>
      </c>
      <c r="D28" s="162" t="s">
        <v>18</v>
      </c>
      <c r="E28" s="219" t="s">
        <v>88</v>
      </c>
      <c r="F28" s="219" t="s">
        <v>332</v>
      </c>
      <c r="G28" s="162" t="s">
        <v>90</v>
      </c>
      <c r="H28" s="223" t="s">
        <v>333</v>
      </c>
      <c r="I28" s="220">
        <f>(('CLB 12 31 2017 999999'!I28+1.43)*1.022)-1.58</f>
        <v>29.008459999999999</v>
      </c>
      <c r="J28" s="220"/>
      <c r="K28" s="220"/>
      <c r="M28" s="221"/>
      <c r="N28" s="222"/>
      <c r="O28" s="220"/>
      <c r="P28" s="227"/>
      <c r="R28" s="208"/>
    </row>
    <row r="29" spans="1:20" ht="30">
      <c r="A29" s="218">
        <v>205</v>
      </c>
      <c r="B29" s="162">
        <v>4</v>
      </c>
      <c r="C29" s="162" t="s">
        <v>17</v>
      </c>
      <c r="D29" s="162" t="s">
        <v>18</v>
      </c>
      <c r="E29" s="219" t="s">
        <v>19</v>
      </c>
      <c r="F29" s="219" t="s">
        <v>319</v>
      </c>
      <c r="G29" s="162" t="s">
        <v>93</v>
      </c>
      <c r="H29" s="223" t="s">
        <v>334</v>
      </c>
      <c r="I29" s="220">
        <f>(('CLB 12 31 2017 999999'!I29+1.43)*1.022)-1.58</f>
        <v>24.828838466850961</v>
      </c>
      <c r="J29" s="220">
        <f>(('CLB 12 31 2017 999999'!J29+1.43)*1.022)-1.58</f>
        <v>25.604494976158705</v>
      </c>
      <c r="K29" s="220">
        <f>(('CLB 12 31 2017 999999'!K29+1.43)*1.022)-1.58</f>
        <v>26.403421180745674</v>
      </c>
      <c r="L29" s="220">
        <f>(('CLB 12 31 2017 999999'!L29+1.43)*1.022)-1.58</f>
        <v>27.226315171470262</v>
      </c>
      <c r="M29" s="221"/>
      <c r="N29" s="222"/>
      <c r="O29" s="220"/>
      <c r="P29" s="227"/>
      <c r="R29" s="208"/>
    </row>
    <row r="30" spans="1:20" ht="30">
      <c r="A30" s="218">
        <v>205</v>
      </c>
      <c r="B30" s="162">
        <v>4</v>
      </c>
      <c r="C30" s="162" t="s">
        <v>17</v>
      </c>
      <c r="D30" s="162" t="s">
        <v>18</v>
      </c>
      <c r="E30" s="219" t="s">
        <v>19</v>
      </c>
      <c r="F30" s="219" t="s">
        <v>321</v>
      </c>
      <c r="G30" s="162" t="s">
        <v>96</v>
      </c>
      <c r="H30" s="223" t="s">
        <v>335</v>
      </c>
      <c r="I30" s="220">
        <f>(('CLB 12 31 2017 999999'!I30+1.43)*1.022)-1.58</f>
        <v>25.243766447220644</v>
      </c>
      <c r="J30" s="220">
        <f>(('CLB 12 31 2017 999999'!J30+1.43)*1.022)-1.58</f>
        <v>26.019422956528388</v>
      </c>
      <c r="K30" s="220">
        <f>(('CLB 12 31 2017 999999'!K30+1.43)*1.022)-1.58</f>
        <v>26.818349161115357</v>
      </c>
      <c r="L30" s="220">
        <f>(('CLB 12 31 2017 999999'!L30+1.43)*1.022)-1.58</f>
        <v>27.641243151839937</v>
      </c>
      <c r="M30" s="221"/>
      <c r="N30" s="222"/>
      <c r="O30" s="220"/>
      <c r="P30" s="227"/>
      <c r="R30" s="208"/>
    </row>
    <row r="31" spans="1:20" ht="30">
      <c r="A31" s="218">
        <v>205</v>
      </c>
      <c r="B31" s="162">
        <v>4</v>
      </c>
      <c r="C31" s="162" t="s">
        <v>17</v>
      </c>
      <c r="D31" s="162" t="s">
        <v>18</v>
      </c>
      <c r="E31" s="219" t="s">
        <v>19</v>
      </c>
      <c r="F31" s="219" t="s">
        <v>330</v>
      </c>
      <c r="G31" s="162" t="s">
        <v>99</v>
      </c>
      <c r="H31" s="223" t="s">
        <v>336</v>
      </c>
      <c r="I31" s="220">
        <f>(('CLB 12 31 2017 999999'!I31+1.43)*1.022)-1.58</f>
        <v>25.480868150289027</v>
      </c>
      <c r="J31" s="220">
        <f>(('CLB 12 31 2017 999999'!J31+1.43)*1.022)-1.58</f>
        <v>26.256524659596771</v>
      </c>
      <c r="K31" s="220">
        <f>(('CLB 12 31 2017 999999'!K31+1.43)*1.022)-1.58</f>
        <v>27.05545086418374</v>
      </c>
      <c r="L31" s="220">
        <f>(('CLB 12 31 2017 999999'!L31+1.43)*1.022)-1.58</f>
        <v>27.878344854908327</v>
      </c>
      <c r="M31" s="221"/>
      <c r="N31" s="222"/>
      <c r="O31" s="220"/>
      <c r="P31" s="227"/>
      <c r="R31" s="208"/>
    </row>
    <row r="32" spans="1:20">
      <c r="A32" s="218">
        <v>273</v>
      </c>
      <c r="B32" s="162">
        <v>6</v>
      </c>
      <c r="C32" s="162" t="s">
        <v>17</v>
      </c>
      <c r="D32" s="162" t="s">
        <v>18</v>
      </c>
      <c r="E32" s="219">
        <v>19</v>
      </c>
      <c r="F32" s="219" t="s">
        <v>332</v>
      </c>
      <c r="G32" s="162" t="s">
        <v>101</v>
      </c>
      <c r="H32" s="211" t="s">
        <v>102</v>
      </c>
      <c r="I32" s="220">
        <f>(('CLB 12 31 2017 999999'!I32+1.43)*1.022)-1.58</f>
        <v>29.008459999999999</v>
      </c>
      <c r="J32" s="222"/>
      <c r="P32" s="227"/>
      <c r="R32" s="208"/>
    </row>
    <row r="33" spans="1:33">
      <c r="A33" s="218">
        <v>273</v>
      </c>
      <c r="B33" s="162">
        <v>6</v>
      </c>
      <c r="C33" s="162" t="s">
        <v>17</v>
      </c>
      <c r="D33" s="162" t="s">
        <v>18</v>
      </c>
      <c r="E33" s="219" t="s">
        <v>88</v>
      </c>
      <c r="F33" s="219" t="s">
        <v>332</v>
      </c>
      <c r="G33" s="162" t="s">
        <v>103</v>
      </c>
      <c r="H33" s="211" t="s">
        <v>104</v>
      </c>
      <c r="I33" s="220">
        <f>(('CLB 12 31 2017 999999'!I33+1.43)*1.022)-1.58</f>
        <v>29.008459999999999</v>
      </c>
      <c r="P33" s="227"/>
      <c r="R33" s="208"/>
    </row>
    <row r="34" spans="1:33">
      <c r="A34" s="218">
        <v>273</v>
      </c>
      <c r="B34" s="162">
        <v>6</v>
      </c>
      <c r="C34" s="162" t="s">
        <v>17</v>
      </c>
      <c r="D34" s="162" t="s">
        <v>18</v>
      </c>
      <c r="E34" s="219">
        <v>19</v>
      </c>
      <c r="F34" s="219" t="s">
        <v>332</v>
      </c>
      <c r="G34" s="162" t="s">
        <v>105</v>
      </c>
      <c r="H34" s="211" t="s">
        <v>106</v>
      </c>
      <c r="I34" s="220">
        <f>(('CLB 12 31 2017 999999'!I34+1.43)*1.022)-1.58</f>
        <v>29.008459999999999</v>
      </c>
      <c r="P34" s="227"/>
      <c r="R34" s="208"/>
    </row>
    <row r="35" spans="1:33">
      <c r="A35" s="218">
        <v>273</v>
      </c>
      <c r="B35" s="162">
        <v>6</v>
      </c>
      <c r="C35" s="162" t="s">
        <v>17</v>
      </c>
      <c r="D35" s="162" t="s">
        <v>18</v>
      </c>
      <c r="E35" s="219">
        <v>19</v>
      </c>
      <c r="F35" s="219" t="s">
        <v>332</v>
      </c>
      <c r="G35" s="162" t="s">
        <v>107</v>
      </c>
      <c r="H35" s="211" t="s">
        <v>108</v>
      </c>
      <c r="I35" s="220">
        <f>(('CLB 12 31 2017 999999'!I35+1.43)*1.022)-1.58</f>
        <v>29.008459999999999</v>
      </c>
      <c r="P35" s="227"/>
      <c r="R35" s="208"/>
    </row>
    <row r="36" spans="1:33">
      <c r="A36" s="218">
        <v>273</v>
      </c>
      <c r="B36" s="162">
        <v>6</v>
      </c>
      <c r="C36" s="162" t="s">
        <v>17</v>
      </c>
      <c r="D36" s="162" t="s">
        <v>18</v>
      </c>
      <c r="E36" s="219">
        <v>19</v>
      </c>
      <c r="F36" s="219" t="s">
        <v>332</v>
      </c>
      <c r="G36" s="162" t="s">
        <v>109</v>
      </c>
      <c r="H36" s="211" t="s">
        <v>110</v>
      </c>
      <c r="I36" s="220">
        <f>(('CLB 12 31 2017 999999'!I36+1.43)*1.022)-1.58</f>
        <v>29.008459999999999</v>
      </c>
      <c r="P36" s="227"/>
      <c r="R36" s="208"/>
    </row>
    <row r="37" spans="1:33">
      <c r="A37" s="218">
        <v>238</v>
      </c>
      <c r="B37" s="162">
        <v>5</v>
      </c>
      <c r="C37" s="162" t="s">
        <v>17</v>
      </c>
      <c r="D37" s="162" t="s">
        <v>18</v>
      </c>
      <c r="E37" s="219" t="s">
        <v>111</v>
      </c>
      <c r="F37" s="219" t="s">
        <v>111</v>
      </c>
      <c r="G37" s="162" t="s">
        <v>112</v>
      </c>
      <c r="H37" s="211" t="s">
        <v>113</v>
      </c>
      <c r="I37" s="220">
        <f>(('CLB 12 31 2017 999999'!I37+1.43)*1.022)-1.58</f>
        <v>27.048488894168969</v>
      </c>
      <c r="P37" s="227"/>
      <c r="R37" s="208"/>
    </row>
    <row r="38" spans="1:33">
      <c r="A38" s="218">
        <v>215</v>
      </c>
      <c r="B38" s="162">
        <v>4</v>
      </c>
      <c r="C38" s="162" t="s">
        <v>17</v>
      </c>
      <c r="D38" s="162" t="s">
        <v>18</v>
      </c>
      <c r="E38" s="219" t="s">
        <v>114</v>
      </c>
      <c r="F38" s="219" t="s">
        <v>114</v>
      </c>
      <c r="G38" s="162" t="s">
        <v>115</v>
      </c>
      <c r="H38" s="211" t="s">
        <v>116</v>
      </c>
      <c r="I38" s="220">
        <f>(('CLB 12 31 2017 999999'!I38+1.43)*1.022)-1.58</f>
        <v>25.28291041109842</v>
      </c>
      <c r="P38" s="227"/>
      <c r="R38" s="208"/>
    </row>
    <row r="39" spans="1:33">
      <c r="A39" s="218">
        <v>335</v>
      </c>
      <c r="B39" s="162">
        <v>7</v>
      </c>
      <c r="C39" s="162" t="s">
        <v>17</v>
      </c>
      <c r="D39" s="162" t="s">
        <v>18</v>
      </c>
      <c r="E39" s="219" t="s">
        <v>117</v>
      </c>
      <c r="F39" s="219" t="s">
        <v>118</v>
      </c>
      <c r="G39" s="162" t="s">
        <v>119</v>
      </c>
      <c r="H39" s="211" t="s">
        <v>120</v>
      </c>
      <c r="I39" s="220">
        <f>(('CLB 12 31 2017 999999'!I39+1.43)*1.022)-1.58</f>
        <v>25.454403923279919</v>
      </c>
      <c r="J39" s="220">
        <f>(('CLB 12 31 2017 999999'!J39+1.43)*1.022)-1.58</f>
        <v>26.760330239736952</v>
      </c>
      <c r="K39" s="220">
        <f>(('CLB 12 31 2017 999999'!K39+1.43)*1.022)-1.58</f>
        <v>28.066256556193977</v>
      </c>
      <c r="L39" s="220">
        <f>(('CLB 12 31 2017 999999'!L39+1.43)*1.022)-1.58</f>
        <v>29.367714348043798</v>
      </c>
      <c r="M39" s="220">
        <f>(('CLB 12 31 2017 999999'!M39+1.43)*1.022)-1.58</f>
        <v>30.674757795652631</v>
      </c>
      <c r="N39" s="220">
        <f>(('CLB 12 31 2017 999999'!N39+1.43)*1.022)-1.58</f>
        <v>31.984035505565082</v>
      </c>
      <c r="P39" s="227"/>
      <c r="R39" s="208"/>
    </row>
    <row r="40" spans="1:33">
      <c r="A40" s="218">
        <v>230</v>
      </c>
      <c r="B40" s="162">
        <v>5</v>
      </c>
      <c r="C40" s="162" t="s">
        <v>17</v>
      </c>
      <c r="D40" s="162" t="s">
        <v>18</v>
      </c>
      <c r="E40" s="219" t="s">
        <v>19</v>
      </c>
      <c r="F40" s="219" t="s">
        <v>19</v>
      </c>
      <c r="G40" s="162" t="s">
        <v>121</v>
      </c>
      <c r="H40" s="223" t="s">
        <v>122</v>
      </c>
      <c r="I40" s="220">
        <f>(('CLB 12 31 2017 999999'!I40+1.43)*1.022)-1.58</f>
        <v>24.651012189549668</v>
      </c>
      <c r="J40" s="220">
        <f>(('CLB 12 31 2017 999999'!J40+1.43)*1.022)-1.58</f>
        <v>25.426668698857412</v>
      </c>
      <c r="K40" s="220">
        <f>(('CLB 12 31 2017 999999'!K40+1.43)*1.022)-1.58</f>
        <v>26.225594903444382</v>
      </c>
      <c r="L40" s="220">
        <f>(('CLB 12 31 2017 999999'!L40+1.43)*1.022)-1.58</f>
        <v>27.048488894168969</v>
      </c>
      <c r="P40" s="227"/>
      <c r="R40" s="208"/>
    </row>
    <row r="41" spans="1:33" hidden="1">
      <c r="A41" s="218">
        <v>215</v>
      </c>
      <c r="B41" s="162">
        <v>4</v>
      </c>
      <c r="C41" s="162" t="s">
        <v>17</v>
      </c>
      <c r="D41" s="162" t="s">
        <v>18</v>
      </c>
      <c r="E41" s="219">
        <v>12</v>
      </c>
      <c r="F41" s="219" t="s">
        <v>123</v>
      </c>
      <c r="G41" s="162" t="s">
        <v>112</v>
      </c>
      <c r="H41" s="211" t="s">
        <v>113</v>
      </c>
      <c r="I41" s="220">
        <v>24.465927129125362</v>
      </c>
      <c r="P41" s="227"/>
      <c r="R41" s="208"/>
    </row>
    <row r="42" spans="1:33">
      <c r="A42" s="218">
        <v>230</v>
      </c>
      <c r="B42" s="162">
        <v>5</v>
      </c>
      <c r="C42" s="162" t="s">
        <v>17</v>
      </c>
      <c r="D42" s="162" t="s">
        <v>18</v>
      </c>
      <c r="E42" s="219" t="s">
        <v>124</v>
      </c>
      <c r="F42" s="219" t="s">
        <v>124</v>
      </c>
      <c r="G42" s="162" t="s">
        <v>126</v>
      </c>
      <c r="H42" s="223" t="s">
        <v>127</v>
      </c>
      <c r="I42" s="221" t="s">
        <v>337</v>
      </c>
      <c r="J42" s="228"/>
      <c r="K42" s="221" t="s">
        <v>338</v>
      </c>
      <c r="L42" s="277"/>
      <c r="P42" s="227"/>
      <c r="R42" s="208"/>
    </row>
    <row r="43" spans="1:33" ht="30">
      <c r="A43" s="218">
        <v>318</v>
      </c>
      <c r="B43" s="162">
        <v>7</v>
      </c>
      <c r="C43" s="162" t="s">
        <v>17</v>
      </c>
      <c r="D43" s="162" t="s">
        <v>18</v>
      </c>
      <c r="E43" s="219" t="s">
        <v>130</v>
      </c>
      <c r="F43" s="219" t="s">
        <v>130</v>
      </c>
      <c r="G43" s="229" t="s">
        <v>131</v>
      </c>
      <c r="H43" s="223" t="s">
        <v>339</v>
      </c>
      <c r="I43" s="220">
        <v>32.130000000000003</v>
      </c>
      <c r="J43" s="220">
        <v>33</v>
      </c>
      <c r="K43" s="220">
        <v>34.04</v>
      </c>
      <c r="L43" s="220"/>
      <c r="N43" s="277"/>
      <c r="O43" s="277"/>
      <c r="P43" s="227"/>
      <c r="S43" s="227"/>
      <c r="T43" s="227"/>
      <c r="U43" s="227"/>
    </row>
    <row r="44" spans="1:33">
      <c r="A44" s="218">
        <v>310</v>
      </c>
      <c r="B44" s="162">
        <v>6</v>
      </c>
      <c r="C44" s="162" t="s">
        <v>17</v>
      </c>
      <c r="D44" s="162" t="s">
        <v>18</v>
      </c>
      <c r="E44" s="219" t="s">
        <v>133</v>
      </c>
      <c r="F44" s="219" t="s">
        <v>133</v>
      </c>
      <c r="G44" s="162" t="s">
        <v>134</v>
      </c>
      <c r="H44" s="211" t="s">
        <v>135</v>
      </c>
      <c r="I44" s="220">
        <f>(('CLB 12 31 2017 999999'!I44+1.43)*1.022)-1.58</f>
        <v>25.371082416012662</v>
      </c>
      <c r="J44" s="220">
        <f>(('CLB 12 31 2017 999999'!J44+1.43)*1.022)-1.58</f>
        <v>26.61773659660566</v>
      </c>
      <c r="K44" s="220">
        <f>(('CLB 12 31 2017 999999'!K44+1.43)*1.022)-1.58</f>
        <v>27.844796998328825</v>
      </c>
      <c r="L44" s="220">
        <f>(('CLB 12 31 2017 999999'!L44+1.43)*1.022)-1.58</f>
        <v>29.162478627324965</v>
      </c>
      <c r="P44" s="227"/>
      <c r="R44" s="208"/>
    </row>
    <row r="45" spans="1:33">
      <c r="A45" s="218">
        <v>258</v>
      </c>
      <c r="B45" s="162">
        <v>5</v>
      </c>
      <c r="C45" s="162" t="s">
        <v>17</v>
      </c>
      <c r="D45" s="162" t="s">
        <v>18</v>
      </c>
      <c r="E45" s="219">
        <v>16</v>
      </c>
      <c r="F45" s="219" t="s">
        <v>111</v>
      </c>
      <c r="G45" s="162" t="s">
        <v>136</v>
      </c>
      <c r="H45" s="211" t="s">
        <v>137</v>
      </c>
      <c r="I45" s="220">
        <f>(('CLB 12 31 2017 999999'!I45+1.43)*1.022)-1.58</f>
        <v>27.048488894168969</v>
      </c>
      <c r="P45" s="227"/>
      <c r="R45" s="208"/>
    </row>
    <row r="46" spans="1:33">
      <c r="A46" s="218">
        <v>295</v>
      </c>
      <c r="B46" s="162">
        <v>6</v>
      </c>
      <c r="C46" s="162" t="s">
        <v>17</v>
      </c>
      <c r="D46" s="162" t="s">
        <v>18</v>
      </c>
      <c r="E46" s="219">
        <v>17</v>
      </c>
      <c r="F46" s="219" t="s">
        <v>308</v>
      </c>
      <c r="G46" s="162" t="s">
        <v>138</v>
      </c>
      <c r="H46" s="211" t="s">
        <v>139</v>
      </c>
      <c r="I46" s="220">
        <f>(('CLB 12 31 2017 999999'!I46+1.43)*1.022)-1.58</f>
        <v>28.68855410091092</v>
      </c>
      <c r="J46" s="220">
        <f>(('CLB 12 31 2017 999999'!J46+1.43)*1.022)-1.58</f>
        <v>29.434342309143858</v>
      </c>
      <c r="K46" s="220">
        <f>(('CLB 12 31 2017 999999'!K46+1.43)*1.022)-1.58</f>
        <v>30.177681295018083</v>
      </c>
      <c r="L46" s="220"/>
      <c r="P46" s="208"/>
      <c r="Q46" s="208"/>
      <c r="R46" s="208"/>
      <c r="V46" s="230"/>
    </row>
    <row r="47" spans="1:33" ht="31.5" customHeight="1">
      <c r="A47" s="218">
        <v>260</v>
      </c>
      <c r="B47" s="162">
        <v>5</v>
      </c>
      <c r="C47" s="162" t="s">
        <v>17</v>
      </c>
      <c r="D47" s="162" t="s">
        <v>18</v>
      </c>
      <c r="E47" s="219">
        <v>8</v>
      </c>
      <c r="F47" s="219">
        <v>8</v>
      </c>
      <c r="G47" s="162" t="s">
        <v>140</v>
      </c>
      <c r="H47" s="211" t="s">
        <v>141</v>
      </c>
      <c r="I47" s="220">
        <f>(('CLB 12 31 2017 999999'!I47+1.43)*1.022)-1.58</f>
        <v>19.241903463293646</v>
      </c>
      <c r="J47" s="220">
        <f>(('CLB 12 31 2017 999999'!J47+1.43)*1.022)-1.58</f>
        <v>20.411407139586693</v>
      </c>
      <c r="K47" s="220">
        <f>(('CLB 12 31 2017 999999'!K47+1.43)*1.022)-1.58</f>
        <v>22.429566363179276</v>
      </c>
      <c r="L47" s="220">
        <f>(('CLB 12 31 2017 999999'!L47+1.43)*1.022)-1.58</f>
        <v>23.301489522886747</v>
      </c>
      <c r="M47" s="220">
        <f>(('CLB 12 31 2017 999999'!M47+1.43)*1.022)-1.58</f>
        <v>25.057581954095362</v>
      </c>
      <c r="N47" s="220">
        <f>(('CLB 12 31 2017 999999'!N47+1.43)*1.022)-1.58</f>
        <v>26.104624512451956</v>
      </c>
      <c r="O47" s="220">
        <f>(('CLB 12 31 2017 999999'!O47+1.43)*1.022)-1.58</f>
        <v>27.048488894168969</v>
      </c>
      <c r="P47" s="227"/>
      <c r="Q47" s="273"/>
      <c r="R47" s="208"/>
      <c r="W47" s="230"/>
      <c r="X47" s="230"/>
      <c r="Y47" s="230"/>
      <c r="Z47" s="230"/>
      <c r="AA47" s="230"/>
      <c r="AB47" s="230"/>
      <c r="AC47" s="230"/>
      <c r="AD47" s="230"/>
      <c r="AE47" s="230"/>
      <c r="AF47" s="230"/>
      <c r="AG47" s="230"/>
    </row>
    <row r="48" spans="1:33">
      <c r="A48" s="218">
        <v>333</v>
      </c>
      <c r="B48" s="162">
        <v>7</v>
      </c>
      <c r="C48" s="162" t="s">
        <v>17</v>
      </c>
      <c r="D48" s="162" t="s">
        <v>18</v>
      </c>
      <c r="E48" s="219" t="s">
        <v>117</v>
      </c>
      <c r="F48" s="219" t="s">
        <v>118</v>
      </c>
      <c r="G48" s="162" t="s">
        <v>142</v>
      </c>
      <c r="H48" s="211" t="s">
        <v>143</v>
      </c>
      <c r="I48" s="220">
        <f>(('CLB 12 31 2017 999999'!I48+1.43)*1.022)-1.58</f>
        <v>25.454403923279919</v>
      </c>
      <c r="J48" s="220">
        <f>(('CLB 12 31 2017 999999'!J48+1.43)*1.022)-1.58</f>
        <v>26.760330239736952</v>
      </c>
      <c r="K48" s="220">
        <f>(('CLB 12 31 2017 999999'!K48+1.43)*1.022)-1.58</f>
        <v>28.066256556193977</v>
      </c>
      <c r="L48" s="220">
        <f>(('CLB 12 31 2017 999999'!L48+1.43)*1.022)-1.58</f>
        <v>29.367714348043798</v>
      </c>
      <c r="M48" s="220">
        <f>(('CLB 12 31 2017 999999'!M48+1.43)*1.022)-1.58</f>
        <v>30.674757795652631</v>
      </c>
      <c r="N48" s="220">
        <f>(('CLB 12 31 2017 999999'!N48+1.43)*1.022)-1.58</f>
        <v>31.984035505565082</v>
      </c>
      <c r="P48" s="227"/>
      <c r="R48" s="208"/>
    </row>
    <row r="49" spans="1:18">
      <c r="A49" s="218">
        <v>265</v>
      </c>
      <c r="B49" s="162">
        <v>5</v>
      </c>
      <c r="C49" s="162" t="s">
        <v>17</v>
      </c>
      <c r="D49" s="162" t="s">
        <v>18</v>
      </c>
      <c r="E49" s="219">
        <v>22</v>
      </c>
      <c r="F49" s="219">
        <v>22</v>
      </c>
      <c r="G49" s="162" t="s">
        <v>144</v>
      </c>
      <c r="H49" s="211" t="s">
        <v>340</v>
      </c>
      <c r="I49" s="220">
        <v>29.05</v>
      </c>
      <c r="J49" s="220">
        <v>29.63</v>
      </c>
      <c r="K49" s="220">
        <v>30.21</v>
      </c>
      <c r="L49" s="220">
        <v>30.79</v>
      </c>
      <c r="M49" s="221"/>
      <c r="N49" s="220"/>
      <c r="O49" s="220"/>
      <c r="P49" s="227"/>
      <c r="R49" s="227">
        <v>0</v>
      </c>
    </row>
    <row r="50" spans="1:18">
      <c r="A50" s="218">
        <v>253</v>
      </c>
      <c r="B50" s="162">
        <v>5</v>
      </c>
      <c r="C50" s="162" t="s">
        <v>17</v>
      </c>
      <c r="D50" s="162" t="s">
        <v>18</v>
      </c>
      <c r="E50" s="219" t="s">
        <v>65</v>
      </c>
      <c r="F50" s="219" t="s">
        <v>65</v>
      </c>
      <c r="G50" s="162" t="s">
        <v>146</v>
      </c>
      <c r="H50" s="211" t="s">
        <v>147</v>
      </c>
      <c r="I50" s="220">
        <f>(('CLB 12 31 2017 999999'!I50+1.43)*1.022)-1.58</f>
        <v>24.075443788245089</v>
      </c>
      <c r="J50" s="220">
        <f>(('CLB 12 31 2017 999999'!J50+1.43)*1.022)-1.58</f>
        <v>24.883687166625613</v>
      </c>
      <c r="K50" s="220">
        <f>(('CLB 12 31 2017 999999'!K50+1.43)*1.022)-1.58</f>
        <v>25.720096602131527</v>
      </c>
      <c r="L50" s="220">
        <f>(('CLB 12 31 2017 999999'!L50+1.43)*1.022)-1.58</f>
        <v>26.751219215156382</v>
      </c>
      <c r="M50" s="220"/>
      <c r="P50" s="227"/>
      <c r="R50" s="208"/>
    </row>
    <row r="51" spans="1:18">
      <c r="A51" s="218">
        <v>275</v>
      </c>
      <c r="B51" s="162">
        <v>6</v>
      </c>
      <c r="C51" s="162" t="s">
        <v>17</v>
      </c>
      <c r="D51" s="162" t="s">
        <v>18</v>
      </c>
      <c r="E51" s="219">
        <v>13</v>
      </c>
      <c r="F51" s="219">
        <v>13</v>
      </c>
      <c r="G51" s="162" t="s">
        <v>148</v>
      </c>
      <c r="H51" s="211" t="s">
        <v>149</v>
      </c>
      <c r="I51" s="220">
        <f>(('CLB 12 31 2017 999999'!I51+1.43)*1.022)-1.58</f>
        <v>25.371082416012662</v>
      </c>
      <c r="J51" s="220">
        <f>(('CLB 12 31 2017 999999'!J51+1.43)*1.022)-1.58</f>
        <v>26.61773659660566</v>
      </c>
      <c r="K51" s="220">
        <f>(('CLB 12 31 2017 999999'!K51+1.43)*1.022)-1.58</f>
        <v>27.844796998328825</v>
      </c>
      <c r="L51" s="220">
        <f>(('CLB 12 31 2017 999999'!L51+1.43)*1.022)-1.58</f>
        <v>29.162478627324965</v>
      </c>
      <c r="M51" s="220"/>
      <c r="P51" s="227"/>
      <c r="R51" s="208"/>
    </row>
    <row r="52" spans="1:18">
      <c r="B52" s="162"/>
      <c r="C52" s="231" t="s">
        <v>341</v>
      </c>
      <c r="D52" s="208"/>
      <c r="E52" s="219"/>
      <c r="F52" s="219"/>
      <c r="G52" s="219"/>
      <c r="I52" s="218"/>
      <c r="J52" s="220"/>
      <c r="K52" s="220"/>
      <c r="L52" s="220"/>
    </row>
    <row r="53" spans="1:18">
      <c r="C53" s="232" t="s">
        <v>342</v>
      </c>
      <c r="D53" s="165"/>
      <c r="I53" s="233"/>
      <c r="J53" s="162"/>
      <c r="K53" s="162"/>
      <c r="L53" s="162"/>
      <c r="M53" s="162"/>
      <c r="N53" s="162"/>
    </row>
    <row r="54" spans="1:18">
      <c r="C54" s="165"/>
      <c r="D54" s="165"/>
      <c r="I54" s="233"/>
      <c r="J54" s="162"/>
      <c r="K54" s="162"/>
      <c r="L54" s="162"/>
      <c r="M54" s="162"/>
      <c r="N54" s="162"/>
    </row>
    <row r="55" spans="1:18" ht="60.75" hidden="1" customHeight="1">
      <c r="C55" s="654" t="s">
        <v>343</v>
      </c>
      <c r="D55" s="654"/>
      <c r="E55" s="654"/>
      <c r="F55" s="654"/>
      <c r="G55" s="654"/>
      <c r="H55" s="654"/>
      <c r="I55" s="654"/>
      <c r="J55" s="654"/>
      <c r="K55" s="654"/>
      <c r="L55" s="654"/>
      <c r="M55" s="654"/>
      <c r="N55" s="654"/>
      <c r="O55" s="654"/>
    </row>
    <row r="56" spans="1:18" ht="9" customHeight="1">
      <c r="C56" s="650"/>
      <c r="D56" s="650"/>
      <c r="E56" s="650"/>
      <c r="F56" s="650"/>
      <c r="G56" s="650"/>
      <c r="H56" s="650"/>
      <c r="I56" s="650"/>
      <c r="J56" s="650"/>
      <c r="K56" s="650"/>
      <c r="L56" s="650"/>
      <c r="M56" s="650"/>
      <c r="N56" s="650"/>
      <c r="O56" s="650"/>
    </row>
    <row r="57" spans="1:18" ht="15.75" customHeight="1">
      <c r="C57" s="234" t="s">
        <v>344</v>
      </c>
      <c r="D57" s="234"/>
      <c r="I57" s="233"/>
      <c r="J57" s="162"/>
      <c r="K57" s="162"/>
      <c r="L57" s="162"/>
      <c r="M57" s="162"/>
      <c r="N57" s="162"/>
      <c r="R57" s="208"/>
    </row>
    <row r="58" spans="1:18" ht="15.75" customHeight="1">
      <c r="C58" s="234"/>
      <c r="D58" s="234"/>
      <c r="G58" s="162" t="s">
        <v>154</v>
      </c>
      <c r="H58" s="211" t="s">
        <v>155</v>
      </c>
      <c r="I58" s="233"/>
      <c r="J58" s="162"/>
      <c r="K58" s="162"/>
      <c r="L58" s="162"/>
      <c r="M58" s="162"/>
      <c r="N58" s="162"/>
      <c r="R58" s="208"/>
    </row>
    <row r="59" spans="1:18" ht="15.75" customHeight="1">
      <c r="C59" s="234"/>
      <c r="D59" s="234"/>
      <c r="G59" s="162" t="s">
        <v>156</v>
      </c>
      <c r="H59" s="211" t="s">
        <v>157</v>
      </c>
      <c r="I59" s="233"/>
      <c r="J59" s="162"/>
      <c r="K59" s="162"/>
      <c r="L59" s="162"/>
      <c r="M59" s="162"/>
      <c r="N59" s="162"/>
      <c r="R59" s="208"/>
    </row>
    <row r="60" spans="1:18" ht="15.75" customHeight="1">
      <c r="C60" s="234"/>
      <c r="D60" s="234"/>
      <c r="G60" s="162" t="s">
        <v>158</v>
      </c>
      <c r="H60" s="211" t="s">
        <v>159</v>
      </c>
      <c r="I60" s="233"/>
      <c r="J60" s="162"/>
      <c r="K60" s="162"/>
      <c r="L60" s="162"/>
      <c r="M60" s="162"/>
      <c r="N60" s="162"/>
      <c r="R60" s="208"/>
    </row>
    <row r="61" spans="1:18">
      <c r="C61" s="165"/>
      <c r="D61" s="165"/>
      <c r="I61" s="233"/>
      <c r="J61" s="162"/>
      <c r="K61" s="162"/>
      <c r="L61" s="162"/>
      <c r="M61" s="162"/>
      <c r="N61" s="162"/>
    </row>
    <row r="62" spans="1:18">
      <c r="C62" s="234" t="s">
        <v>345</v>
      </c>
      <c r="D62" s="234"/>
      <c r="I62" s="233"/>
      <c r="J62" s="162"/>
      <c r="K62" s="162"/>
      <c r="L62" s="162"/>
      <c r="M62" s="162"/>
      <c r="N62" s="162"/>
      <c r="Q62" s="208"/>
      <c r="R62" s="208"/>
    </row>
    <row r="63" spans="1:18">
      <c r="C63" s="163"/>
      <c r="D63" s="163"/>
      <c r="E63" s="159" t="s">
        <v>163</v>
      </c>
      <c r="G63" s="162" t="s">
        <v>154</v>
      </c>
      <c r="H63" s="211" t="s">
        <v>164</v>
      </c>
      <c r="I63" s="208"/>
      <c r="J63" s="162"/>
      <c r="K63" s="162"/>
      <c r="L63" s="162"/>
      <c r="M63" s="162"/>
      <c r="N63" s="162"/>
      <c r="Q63" s="208"/>
      <c r="R63" s="208"/>
    </row>
    <row r="64" spans="1:18">
      <c r="C64" s="163"/>
      <c r="D64" s="163"/>
      <c r="E64" s="159" t="s">
        <v>165</v>
      </c>
      <c r="G64" s="162" t="s">
        <v>156</v>
      </c>
      <c r="H64" s="211" t="s">
        <v>166</v>
      </c>
      <c r="I64" s="208"/>
      <c r="J64" s="162"/>
      <c r="K64" s="162"/>
      <c r="L64" s="162"/>
      <c r="M64" s="162"/>
      <c r="N64" s="162"/>
      <c r="Q64" s="208"/>
      <c r="R64" s="208"/>
    </row>
    <row r="65" spans="3:37">
      <c r="C65" s="163"/>
      <c r="D65" s="163"/>
      <c r="E65" s="159" t="s">
        <v>167</v>
      </c>
      <c r="G65" s="162" t="s">
        <v>158</v>
      </c>
      <c r="H65" s="211" t="s">
        <v>168</v>
      </c>
      <c r="I65" s="208"/>
      <c r="J65" s="162"/>
      <c r="K65" s="162"/>
      <c r="L65" s="162"/>
      <c r="M65" s="162"/>
      <c r="N65" s="162"/>
      <c r="O65" s="162"/>
      <c r="Q65" s="208"/>
      <c r="R65" s="208"/>
    </row>
    <row r="66" spans="3:37">
      <c r="C66" s="163"/>
      <c r="D66" s="163"/>
      <c r="E66" s="159" t="s">
        <v>169</v>
      </c>
      <c r="G66" s="162" t="s">
        <v>170</v>
      </c>
      <c r="H66" s="211" t="s">
        <v>171</v>
      </c>
      <c r="I66" s="208"/>
      <c r="J66" s="162"/>
      <c r="K66" s="162"/>
      <c r="L66" s="162"/>
      <c r="M66" s="162"/>
      <c r="N66" s="162"/>
      <c r="Q66" s="208"/>
      <c r="R66" s="208"/>
    </row>
    <row r="67" spans="3:37">
      <c r="C67" s="163"/>
      <c r="D67" s="163"/>
      <c r="G67" s="162"/>
      <c r="I67" s="208"/>
      <c r="J67" s="162"/>
      <c r="K67" s="162"/>
      <c r="L67" s="162"/>
      <c r="M67" s="162"/>
      <c r="N67" s="162"/>
      <c r="Q67" s="208"/>
      <c r="R67" s="208"/>
    </row>
    <row r="68" spans="3:37">
      <c r="C68" s="235" t="s">
        <v>346</v>
      </c>
      <c r="D68" s="163"/>
      <c r="H68" s="208"/>
      <c r="I68" s="233"/>
      <c r="J68" s="162"/>
      <c r="K68" s="162"/>
      <c r="L68" s="162"/>
      <c r="M68" s="162"/>
      <c r="N68" s="162"/>
    </row>
    <row r="69" spans="3:37">
      <c r="C69" s="163" t="s">
        <v>347</v>
      </c>
      <c r="D69" s="163"/>
      <c r="E69" s="83"/>
      <c r="F69" s="83"/>
      <c r="G69" s="83"/>
      <c r="I69" s="233"/>
      <c r="J69" s="162"/>
      <c r="K69" s="162"/>
      <c r="L69" s="162"/>
      <c r="M69" s="162"/>
      <c r="N69" s="162"/>
    </row>
    <row r="70" spans="3:37" s="159" customFormat="1">
      <c r="C70" s="210"/>
      <c r="D70" s="210"/>
      <c r="E70" s="159" t="s">
        <v>174</v>
      </c>
      <c r="H70" s="211"/>
      <c r="I70" s="233"/>
      <c r="J70" s="162"/>
      <c r="K70" s="162"/>
      <c r="L70" s="162"/>
      <c r="M70" s="162"/>
      <c r="N70" s="162"/>
      <c r="Q70" s="227"/>
      <c r="R70" s="227"/>
      <c r="S70" s="208"/>
      <c r="T70" s="208"/>
      <c r="U70" s="208"/>
      <c r="V70" s="208"/>
      <c r="W70" s="208"/>
      <c r="X70" s="208"/>
      <c r="Y70" s="208"/>
      <c r="Z70" s="208"/>
      <c r="AA70" s="208"/>
      <c r="AB70" s="208"/>
      <c r="AC70" s="208"/>
      <c r="AD70" s="208"/>
      <c r="AE70" s="208"/>
      <c r="AF70" s="208"/>
      <c r="AG70" s="208"/>
      <c r="AH70" s="208"/>
      <c r="AI70" s="208"/>
      <c r="AJ70" s="208"/>
      <c r="AK70" s="208"/>
    </row>
    <row r="71" spans="3:37" s="159" customFormat="1">
      <c r="C71" s="234" t="s">
        <v>348</v>
      </c>
      <c r="D71" s="234"/>
      <c r="H71" s="211"/>
      <c r="I71" s="233"/>
      <c r="J71" s="162"/>
      <c r="K71" s="162"/>
      <c r="L71" s="162"/>
      <c r="M71" s="162"/>
      <c r="N71" s="162"/>
      <c r="Q71" s="227"/>
      <c r="R71" s="227"/>
      <c r="S71" s="208"/>
      <c r="T71" s="208"/>
      <c r="U71" s="208"/>
      <c r="V71" s="208"/>
      <c r="W71" s="208"/>
      <c r="X71" s="208"/>
      <c r="Y71" s="208"/>
      <c r="Z71" s="208"/>
      <c r="AA71" s="208"/>
      <c r="AB71" s="208"/>
      <c r="AC71" s="208"/>
      <c r="AD71" s="208"/>
      <c r="AE71" s="208"/>
      <c r="AF71" s="208"/>
      <c r="AG71" s="208"/>
      <c r="AH71" s="208"/>
      <c r="AI71" s="208"/>
      <c r="AJ71" s="208"/>
      <c r="AK71" s="208"/>
    </row>
    <row r="72" spans="3:37" s="159" customFormat="1">
      <c r="C72" s="163" t="s">
        <v>176</v>
      </c>
      <c r="D72" s="163"/>
      <c r="H72" s="211"/>
      <c r="I72" s="233"/>
      <c r="J72" s="162"/>
      <c r="K72" s="162"/>
      <c r="L72" s="162"/>
      <c r="M72" s="162"/>
      <c r="N72" s="162"/>
      <c r="Q72" s="227"/>
      <c r="R72" s="227"/>
      <c r="S72" s="208"/>
      <c r="T72" s="208"/>
      <c r="U72" s="208"/>
      <c r="V72" s="208"/>
      <c r="W72" s="208"/>
      <c r="X72" s="208"/>
      <c r="Y72" s="208"/>
      <c r="Z72" s="208"/>
      <c r="AA72" s="208"/>
      <c r="AB72" s="208"/>
      <c r="AC72" s="208"/>
      <c r="AD72" s="208"/>
      <c r="AE72" s="208"/>
      <c r="AF72" s="208"/>
      <c r="AG72" s="208"/>
      <c r="AH72" s="208"/>
      <c r="AI72" s="208"/>
      <c r="AJ72" s="208"/>
      <c r="AK72" s="208"/>
    </row>
    <row r="73" spans="3:37" s="159" customFormat="1">
      <c r="C73" s="210"/>
      <c r="D73" s="210"/>
      <c r="H73" s="160"/>
      <c r="I73" s="236"/>
      <c r="J73" s="162"/>
      <c r="K73" s="162"/>
      <c r="L73" s="162"/>
      <c r="M73" s="162"/>
      <c r="N73" s="162"/>
      <c r="Q73" s="227"/>
      <c r="R73" s="227"/>
      <c r="S73" s="208"/>
      <c r="T73" s="208"/>
      <c r="U73" s="208"/>
      <c r="V73" s="208"/>
      <c r="W73" s="208"/>
      <c r="X73" s="208"/>
      <c r="Y73" s="208"/>
      <c r="Z73" s="208"/>
      <c r="AA73" s="208"/>
      <c r="AB73" s="208"/>
      <c r="AC73" s="208"/>
      <c r="AD73" s="208"/>
      <c r="AE73" s="208"/>
      <c r="AF73" s="208"/>
      <c r="AG73" s="208"/>
      <c r="AH73" s="208"/>
      <c r="AI73" s="208"/>
      <c r="AJ73" s="208"/>
      <c r="AK73" s="208"/>
    </row>
    <row r="74" spans="3:37">
      <c r="C74" s="234" t="s">
        <v>349</v>
      </c>
      <c r="D74" s="234"/>
      <c r="H74" s="160"/>
      <c r="I74" s="236"/>
      <c r="J74" s="83"/>
      <c r="K74" s="83"/>
      <c r="L74" s="161"/>
      <c r="M74" s="162"/>
      <c r="N74" s="162"/>
    </row>
    <row r="75" spans="3:37">
      <c r="C75" s="163" t="s">
        <v>350</v>
      </c>
      <c r="D75" s="164" t="s">
        <v>179</v>
      </c>
      <c r="E75" s="164"/>
      <c r="F75" s="164"/>
      <c r="H75" s="160"/>
      <c r="I75" s="159"/>
      <c r="J75" s="83"/>
      <c r="K75" s="83"/>
      <c r="L75" s="161"/>
      <c r="M75" s="162"/>
      <c r="N75" s="162"/>
      <c r="Q75" s="227">
        <f>1.821*1.022</f>
        <v>1.861062</v>
      </c>
    </row>
    <row r="76" spans="3:37">
      <c r="C76" s="163"/>
      <c r="D76" s="163"/>
      <c r="E76" s="83"/>
      <c r="F76" s="83"/>
      <c r="G76" s="83"/>
      <c r="H76" s="160"/>
      <c r="I76" s="236"/>
      <c r="J76" s="83"/>
      <c r="K76" s="83"/>
      <c r="L76" s="83"/>
      <c r="M76" s="162"/>
      <c r="N76" s="162"/>
    </row>
    <row r="77" spans="3:37">
      <c r="C77" s="237" t="s">
        <v>242</v>
      </c>
      <c r="D77" s="217"/>
      <c r="Q77" s="274"/>
      <c r="R77" s="274"/>
      <c r="S77" s="164"/>
      <c r="T77" s="230"/>
      <c r="U77" s="230"/>
      <c r="V77" s="230"/>
      <c r="W77" s="230"/>
    </row>
    <row r="78" spans="3:37" ht="15" customHeight="1">
      <c r="C78" s="238" t="s">
        <v>351</v>
      </c>
      <c r="D78" s="238"/>
      <c r="H78" s="217"/>
      <c r="I78" s="239"/>
      <c r="J78" s="213"/>
      <c r="Q78" s="274"/>
      <c r="R78" s="274"/>
      <c r="S78" s="164"/>
    </row>
    <row r="79" spans="3:37">
      <c r="C79" s="238" t="s">
        <v>352</v>
      </c>
      <c r="D79" s="238"/>
      <c r="H79" s="217"/>
      <c r="I79" s="239"/>
      <c r="J79" s="164"/>
      <c r="K79" s="164"/>
      <c r="L79" s="208"/>
      <c r="M79" s="208"/>
      <c r="N79" s="208"/>
      <c r="O79" s="208"/>
      <c r="Q79" s="274">
        <f>3.066*1.022</f>
        <v>3.1334519999999997</v>
      </c>
      <c r="R79" s="274"/>
      <c r="S79" s="164"/>
    </row>
    <row r="80" spans="3:37">
      <c r="C80" s="238"/>
      <c r="D80" s="238"/>
      <c r="I80" s="218"/>
      <c r="J80" s="220"/>
      <c r="M80" s="220"/>
      <c r="R80" s="274"/>
    </row>
    <row r="81" spans="2:23">
      <c r="C81" s="237" t="s">
        <v>246</v>
      </c>
      <c r="D81" s="217"/>
      <c r="E81" s="209"/>
      <c r="F81" s="209"/>
      <c r="G81" s="209"/>
      <c r="I81" s="218"/>
      <c r="J81" s="220"/>
      <c r="M81" s="220"/>
    </row>
    <row r="82" spans="2:23">
      <c r="C82" s="238" t="s">
        <v>353</v>
      </c>
      <c r="D82" s="238"/>
      <c r="E82" s="209"/>
      <c r="F82" s="209"/>
      <c r="G82" s="209"/>
      <c r="H82" s="160"/>
      <c r="I82" s="164"/>
      <c r="J82" s="164"/>
      <c r="K82" s="240"/>
      <c r="L82" s="211"/>
      <c r="M82" s="162"/>
      <c r="N82" s="162"/>
      <c r="Q82" s="227">
        <f>0.78*1.022</f>
        <v>0.79716000000000009</v>
      </c>
    </row>
    <row r="83" spans="2:23">
      <c r="C83" s="238"/>
      <c r="D83" s="238"/>
      <c r="E83" s="162"/>
      <c r="F83" s="162"/>
      <c r="G83" s="162"/>
    </row>
    <row r="84" spans="2:23">
      <c r="C84" s="163"/>
      <c r="D84" s="163"/>
      <c r="E84" s="83"/>
      <c r="F84" s="83"/>
      <c r="G84" s="83"/>
      <c r="H84" s="160"/>
      <c r="L84" s="160"/>
      <c r="M84" s="162"/>
      <c r="N84" s="162"/>
    </row>
    <row r="85" spans="2:23">
      <c r="C85" s="165" t="s">
        <v>354</v>
      </c>
      <c r="D85" s="166"/>
      <c r="E85" s="83"/>
      <c r="F85" s="83"/>
      <c r="G85" s="83"/>
      <c r="H85" s="160"/>
      <c r="J85" s="241"/>
      <c r="K85" s="241"/>
      <c r="L85" s="242"/>
      <c r="M85" s="162"/>
      <c r="N85" s="162"/>
      <c r="Q85" s="275"/>
      <c r="S85" s="231"/>
      <c r="T85" s="231"/>
      <c r="U85" s="231"/>
      <c r="V85" s="231"/>
      <c r="W85" s="231"/>
    </row>
    <row r="86" spans="2:23" s="231" customFormat="1" ht="39">
      <c r="B86" s="209"/>
      <c r="C86" s="241" t="s">
        <v>188</v>
      </c>
      <c r="D86" s="241"/>
      <c r="E86" s="243"/>
      <c r="F86" s="243"/>
      <c r="G86" s="243"/>
      <c r="H86" s="160"/>
      <c r="I86" s="167"/>
      <c r="L86" s="244" t="s">
        <v>189</v>
      </c>
      <c r="M86" s="244" t="s">
        <v>190</v>
      </c>
      <c r="N86" s="162"/>
      <c r="O86" s="159"/>
      <c r="P86" s="159"/>
      <c r="Q86" s="227"/>
      <c r="R86" s="275"/>
      <c r="S86" s="208"/>
      <c r="T86" s="208"/>
      <c r="U86" s="208"/>
      <c r="V86" s="208"/>
      <c r="W86" s="208"/>
    </row>
    <row r="87" spans="2:23">
      <c r="C87" s="160" t="s">
        <v>191</v>
      </c>
      <c r="D87" s="160"/>
      <c r="E87" s="83"/>
      <c r="F87" s="83"/>
      <c r="G87" s="83"/>
      <c r="H87" s="160"/>
      <c r="J87" s="208"/>
      <c r="K87" s="208"/>
      <c r="L87" s="220">
        <f>'CLB 12 31 2017 999999'!L89*1.022</f>
        <v>0.46433997528913279</v>
      </c>
      <c r="M87" s="220"/>
      <c r="N87" s="162"/>
    </row>
    <row r="88" spans="2:23">
      <c r="C88" s="160" t="s">
        <v>355</v>
      </c>
      <c r="D88" s="160"/>
      <c r="E88" s="83"/>
      <c r="F88" s="83"/>
      <c r="G88" s="83"/>
      <c r="H88" s="160"/>
      <c r="J88" s="208"/>
      <c r="K88" s="208"/>
      <c r="L88" s="220">
        <f>'CLB 12 31 2017 999999'!L90*1.022</f>
        <v>0.68368426490308198</v>
      </c>
      <c r="M88" s="220">
        <f>'CLB 12 31 2017 999999'!M90*1.022</f>
        <v>1.2990001033158556</v>
      </c>
      <c r="N88" s="162"/>
    </row>
    <row r="89" spans="2:23">
      <c r="C89" s="83" t="s">
        <v>193</v>
      </c>
      <c r="D89" s="83"/>
      <c r="E89" s="83"/>
      <c r="F89" s="83"/>
      <c r="G89" s="83"/>
      <c r="H89" s="160"/>
      <c r="J89" s="208"/>
      <c r="K89" s="208"/>
      <c r="L89" s="220" t="s">
        <v>194</v>
      </c>
      <c r="M89" s="220">
        <f>'CLB 12 31 2017 999999'!M91*1.022</f>
        <v>1.1136904094825291</v>
      </c>
      <c r="N89" s="162"/>
    </row>
    <row r="90" spans="2:23">
      <c r="C90" s="160" t="s">
        <v>195</v>
      </c>
      <c r="D90" s="160"/>
      <c r="E90" s="83"/>
      <c r="F90" s="83"/>
      <c r="G90" s="83"/>
      <c r="H90" s="160"/>
      <c r="J90" s="208"/>
      <c r="K90" s="208"/>
      <c r="L90" s="220">
        <f>'CLB 12 31 2017 999999'!L92*1.022</f>
        <v>1.9143159417286302</v>
      </c>
      <c r="M90" s="220"/>
      <c r="N90" s="162"/>
    </row>
    <row r="91" spans="2:23">
      <c r="C91" s="83" t="s">
        <v>196</v>
      </c>
      <c r="D91" s="83"/>
      <c r="E91" s="83"/>
      <c r="F91" s="83"/>
      <c r="G91" s="83"/>
      <c r="H91" s="160"/>
      <c r="I91" s="236"/>
      <c r="J91" s="208"/>
      <c r="K91" s="208"/>
      <c r="L91" s="220">
        <f>'CLB 12 31 2017 999999'!L93*1.022</f>
        <v>1.7092106622577052</v>
      </c>
      <c r="M91" s="83"/>
      <c r="N91" s="162"/>
    </row>
    <row r="92" spans="2:23">
      <c r="C92" s="83" t="s">
        <v>197</v>
      </c>
      <c r="D92" s="83"/>
      <c r="E92" s="83"/>
      <c r="F92" s="83"/>
      <c r="G92" s="83"/>
      <c r="H92" s="160"/>
      <c r="I92" s="236"/>
      <c r="J92" s="208"/>
      <c r="K92" s="208"/>
      <c r="L92" s="220">
        <f>'CLB 12 31 2017 999999'!L94*1.022</f>
        <v>0.68368426490308198</v>
      </c>
      <c r="M92" s="83"/>
      <c r="N92" s="162"/>
    </row>
    <row r="93" spans="2:23">
      <c r="C93" s="83"/>
      <c r="D93" s="83"/>
      <c r="E93" s="83"/>
      <c r="F93" s="83"/>
      <c r="G93" s="83"/>
      <c r="H93" s="160"/>
      <c r="I93" s="236"/>
      <c r="J93" s="83"/>
      <c r="K93" s="83"/>
      <c r="L93" s="83"/>
      <c r="M93" s="162"/>
      <c r="N93" s="162"/>
    </row>
    <row r="94" spans="2:23">
      <c r="C94" s="234" t="s">
        <v>198</v>
      </c>
      <c r="D94" s="234"/>
      <c r="E94" s="83"/>
      <c r="F94" s="83"/>
      <c r="G94" s="83"/>
      <c r="H94" s="160"/>
      <c r="I94" s="236"/>
      <c r="J94" s="83"/>
      <c r="K94" s="83"/>
      <c r="L94" s="83"/>
      <c r="M94" s="162"/>
      <c r="N94" s="162"/>
    </row>
    <row r="95" spans="2:23">
      <c r="C95" s="232" t="s">
        <v>199</v>
      </c>
      <c r="D95" s="232"/>
      <c r="E95" s="170"/>
      <c r="F95" s="170"/>
      <c r="G95" s="170"/>
      <c r="H95" s="245"/>
      <c r="I95" s="170"/>
      <c r="J95" s="170"/>
      <c r="K95" s="170"/>
      <c r="L95" s="170"/>
      <c r="M95" s="246"/>
      <c r="N95" s="246"/>
    </row>
    <row r="96" spans="2:23">
      <c r="C96" s="232" t="s">
        <v>200</v>
      </c>
      <c r="D96" s="232"/>
      <c r="E96" s="170"/>
      <c r="F96" s="170"/>
      <c r="G96" s="170"/>
      <c r="H96" s="245"/>
      <c r="I96" s="170"/>
      <c r="J96" s="170"/>
      <c r="K96" s="170"/>
      <c r="L96" s="170"/>
      <c r="M96" s="246"/>
      <c r="N96" s="246"/>
    </row>
    <row r="97" spans="2:23">
      <c r="C97" s="232" t="s">
        <v>201</v>
      </c>
      <c r="D97" s="232"/>
      <c r="E97" s="170"/>
      <c r="F97" s="170"/>
      <c r="G97" s="170"/>
      <c r="H97" s="245"/>
      <c r="I97" s="170"/>
      <c r="J97" s="170"/>
      <c r="K97" s="170"/>
      <c r="L97" s="170"/>
      <c r="M97" s="246"/>
      <c r="N97" s="246"/>
    </row>
    <row r="98" spans="2:23">
      <c r="C98" s="232" t="s">
        <v>202</v>
      </c>
      <c r="D98" s="232"/>
      <c r="E98" s="170"/>
      <c r="F98" s="170"/>
      <c r="G98" s="170"/>
      <c r="H98" s="245"/>
      <c r="I98" s="170"/>
      <c r="J98" s="170"/>
      <c r="K98" s="170"/>
      <c r="L98" s="170"/>
      <c r="M98" s="246"/>
      <c r="N98" s="246"/>
    </row>
    <row r="99" spans="2:23">
      <c r="C99" s="232" t="s">
        <v>203</v>
      </c>
      <c r="D99" s="232"/>
      <c r="E99" s="170"/>
      <c r="F99" s="170"/>
      <c r="G99" s="170"/>
      <c r="H99" s="245"/>
      <c r="I99" s="170"/>
      <c r="J99" s="170"/>
      <c r="K99" s="170"/>
      <c r="L99" s="170"/>
      <c r="M99" s="246"/>
      <c r="N99" s="246"/>
    </row>
    <row r="100" spans="2:23">
      <c r="C100" s="232" t="s">
        <v>204</v>
      </c>
      <c r="D100" s="232"/>
      <c r="E100" s="170"/>
      <c r="F100" s="170"/>
      <c r="G100" s="170"/>
      <c r="H100" s="245"/>
      <c r="I100" s="170"/>
      <c r="J100" s="170"/>
      <c r="K100" s="170"/>
      <c r="L100" s="170"/>
      <c r="M100" s="246"/>
      <c r="N100" s="246"/>
    </row>
    <row r="101" spans="2:23">
      <c r="C101" s="232" t="s">
        <v>205</v>
      </c>
      <c r="D101" s="232"/>
      <c r="E101" s="170"/>
      <c r="F101" s="170"/>
      <c r="G101" s="170"/>
      <c r="H101" s="245"/>
      <c r="I101" s="170"/>
      <c r="J101" s="170"/>
      <c r="K101" s="170"/>
      <c r="L101" s="170"/>
      <c r="M101" s="246"/>
      <c r="N101" s="246"/>
      <c r="Q101" s="274"/>
      <c r="S101" s="164"/>
      <c r="T101" s="164"/>
      <c r="U101" s="164"/>
    </row>
    <row r="102" spans="2:23">
      <c r="C102" s="232" t="s">
        <v>206</v>
      </c>
      <c r="D102" s="232"/>
      <c r="E102" s="170"/>
      <c r="F102" s="170"/>
      <c r="G102" s="170"/>
      <c r="H102" s="245"/>
      <c r="I102" s="170"/>
      <c r="J102" s="170"/>
      <c r="K102" s="170"/>
      <c r="L102" s="170"/>
      <c r="M102" s="246"/>
      <c r="N102" s="246"/>
      <c r="Q102" s="274"/>
      <c r="R102" s="274"/>
      <c r="S102" s="164"/>
      <c r="T102" s="164"/>
      <c r="U102" s="164"/>
    </row>
    <row r="103" spans="2:23">
      <c r="C103" s="247" t="s">
        <v>207</v>
      </c>
      <c r="D103" s="247"/>
      <c r="E103" s="170"/>
      <c r="F103" s="170"/>
      <c r="G103" s="170"/>
      <c r="H103" s="245"/>
      <c r="I103" s="170"/>
      <c r="J103" s="170"/>
      <c r="K103" s="170"/>
      <c r="L103" s="170"/>
      <c r="M103" s="246"/>
      <c r="N103" s="246"/>
      <c r="R103" s="274"/>
      <c r="V103" s="164"/>
    </row>
    <row r="104" spans="2:23">
      <c r="C104" s="247" t="s">
        <v>208</v>
      </c>
      <c r="D104" s="247"/>
      <c r="E104" s="170"/>
      <c r="F104" s="170"/>
      <c r="G104" s="170"/>
      <c r="H104" s="245"/>
      <c r="I104" s="170"/>
      <c r="J104" s="170"/>
      <c r="K104" s="170"/>
      <c r="L104" s="170"/>
      <c r="M104" s="246"/>
      <c r="N104" s="246"/>
      <c r="V104" s="164"/>
    </row>
    <row r="105" spans="2:23">
      <c r="C105" s="247" t="s">
        <v>209</v>
      </c>
      <c r="D105" s="247"/>
      <c r="E105" s="170"/>
      <c r="F105" s="170"/>
      <c r="G105" s="170"/>
      <c r="H105" s="245"/>
      <c r="I105" s="170"/>
      <c r="J105" s="170"/>
      <c r="K105" s="170"/>
      <c r="L105" s="170"/>
      <c r="M105" s="246"/>
      <c r="N105" s="246"/>
      <c r="W105" s="164"/>
    </row>
    <row r="106" spans="2:23">
      <c r="C106" s="232" t="s">
        <v>210</v>
      </c>
      <c r="D106" s="232"/>
      <c r="E106" s="170"/>
      <c r="F106" s="170"/>
      <c r="G106" s="170"/>
      <c r="H106" s="245"/>
      <c r="I106" s="170"/>
      <c r="J106" s="170"/>
      <c r="K106" s="170"/>
      <c r="L106" s="170"/>
      <c r="M106" s="246"/>
      <c r="N106" s="246"/>
      <c r="W106" s="164"/>
    </row>
    <row r="107" spans="2:23">
      <c r="C107" s="232" t="s">
        <v>211</v>
      </c>
      <c r="D107" s="232"/>
      <c r="E107" s="170"/>
      <c r="F107" s="170"/>
      <c r="G107" s="170"/>
      <c r="H107" s="245"/>
      <c r="I107" s="170"/>
      <c r="J107" s="170"/>
      <c r="K107" s="170"/>
      <c r="L107" s="170"/>
      <c r="M107" s="246"/>
      <c r="N107" s="246"/>
      <c r="W107" s="164"/>
    </row>
    <row r="108" spans="2:23">
      <c r="C108" s="232" t="s">
        <v>212</v>
      </c>
      <c r="D108" s="232"/>
      <c r="E108" s="170"/>
      <c r="F108" s="170"/>
      <c r="G108" s="170"/>
      <c r="H108" s="245"/>
      <c r="I108" s="170"/>
      <c r="J108" s="170"/>
      <c r="K108" s="170"/>
      <c r="L108" s="170"/>
      <c r="M108" s="246"/>
      <c r="N108" s="246"/>
      <c r="W108" s="164"/>
    </row>
    <row r="109" spans="2:23">
      <c r="C109" s="232"/>
      <c r="D109" s="232"/>
      <c r="E109" s="170"/>
      <c r="F109" s="171" t="s">
        <v>213</v>
      </c>
      <c r="G109" s="170"/>
      <c r="H109" s="245"/>
      <c r="I109" s="170"/>
      <c r="J109" s="170"/>
      <c r="K109" s="170"/>
      <c r="L109" s="170"/>
      <c r="M109" s="246"/>
      <c r="N109" s="246"/>
      <c r="W109" s="164"/>
    </row>
    <row r="110" spans="2:23">
      <c r="C110" s="232"/>
      <c r="D110" s="232"/>
      <c r="E110" s="170"/>
      <c r="F110" s="171" t="s">
        <v>356</v>
      </c>
      <c r="G110" s="170"/>
      <c r="H110" s="245"/>
      <c r="I110" s="170"/>
      <c r="J110" s="170"/>
      <c r="K110" s="170"/>
      <c r="L110" s="170"/>
      <c r="M110" s="246"/>
      <c r="N110" s="246"/>
      <c r="W110" s="164"/>
    </row>
    <row r="111" spans="2:23">
      <c r="C111" s="232"/>
      <c r="D111" s="232"/>
      <c r="E111" s="170"/>
      <c r="F111" s="171" t="s">
        <v>215</v>
      </c>
      <c r="G111" s="170"/>
      <c r="H111" s="245"/>
      <c r="I111" s="170"/>
      <c r="J111" s="170"/>
      <c r="K111" s="170"/>
      <c r="L111" s="170"/>
      <c r="M111" s="246"/>
      <c r="N111" s="246"/>
      <c r="W111" s="164"/>
    </row>
    <row r="112" spans="2:23" s="164" customFormat="1">
      <c r="B112" s="159"/>
      <c r="C112" s="232" t="s">
        <v>216</v>
      </c>
      <c r="D112" s="232"/>
      <c r="E112" s="170"/>
      <c r="F112" s="170"/>
      <c r="G112" s="170"/>
      <c r="H112" s="245"/>
      <c r="I112" s="170"/>
      <c r="J112" s="246"/>
      <c r="K112" s="246"/>
      <c r="L112" s="246"/>
      <c r="M112" s="246"/>
      <c r="N112" s="246"/>
      <c r="O112" s="159"/>
      <c r="P112" s="159"/>
      <c r="Q112" s="227"/>
      <c r="R112" s="227"/>
      <c r="S112" s="208"/>
      <c r="T112" s="208"/>
      <c r="U112" s="208"/>
      <c r="V112" s="208"/>
      <c r="W112" s="208"/>
    </row>
    <row r="113" spans="2:23" s="164" customFormat="1">
      <c r="B113" s="159"/>
      <c r="C113" s="165"/>
      <c r="D113" s="165"/>
      <c r="E113" s="83"/>
      <c r="F113" s="83"/>
      <c r="G113" s="83"/>
      <c r="H113" s="160"/>
      <c r="I113" s="236"/>
      <c r="J113" s="162"/>
      <c r="K113" s="162"/>
      <c r="L113" s="162"/>
      <c r="M113" s="162"/>
      <c r="N113" s="162"/>
      <c r="O113" s="159"/>
      <c r="P113" s="159"/>
      <c r="Q113" s="227"/>
      <c r="R113" s="227"/>
      <c r="S113" s="208"/>
      <c r="T113" s="208"/>
      <c r="U113" s="208"/>
      <c r="V113" s="208"/>
      <c r="W113" s="208"/>
    </row>
    <row r="114" spans="2:23" s="164" customFormat="1">
      <c r="B114" s="159"/>
      <c r="C114" s="263" t="s">
        <v>217</v>
      </c>
      <c r="D114" s="166"/>
      <c r="E114" s="83"/>
      <c r="F114" s="83"/>
      <c r="G114" s="83"/>
      <c r="H114" s="160"/>
      <c r="I114" s="248"/>
      <c r="J114" s="249"/>
      <c r="K114" s="162"/>
      <c r="L114" s="162"/>
      <c r="M114" s="162"/>
      <c r="N114" s="162"/>
      <c r="O114" s="159"/>
      <c r="P114" s="159"/>
      <c r="Q114" s="227"/>
      <c r="R114" s="227"/>
      <c r="S114" s="208"/>
      <c r="T114" s="208"/>
      <c r="U114" s="208"/>
      <c r="V114" s="208"/>
      <c r="W114" s="208"/>
    </row>
    <row r="115" spans="2:23">
      <c r="C115" s="165" t="s">
        <v>357</v>
      </c>
      <c r="D115" s="165"/>
      <c r="E115" s="83"/>
      <c r="F115" s="83"/>
      <c r="G115" s="83"/>
      <c r="H115" s="160"/>
      <c r="I115" s="236"/>
      <c r="J115" s="249"/>
      <c r="K115" s="162"/>
      <c r="L115" s="162"/>
      <c r="M115" s="162"/>
      <c r="N115" s="162"/>
    </row>
    <row r="116" spans="2:23">
      <c r="C116" s="220">
        <f>'CLB 12 31 2017 999999'!C119*1.022</f>
        <v>0.24668061187235174</v>
      </c>
      <c r="D116" s="220"/>
      <c r="E116" s="208"/>
      <c r="F116" s="160" t="s">
        <v>220</v>
      </c>
      <c r="G116" s="160"/>
      <c r="H116" s="160"/>
      <c r="I116" s="236"/>
      <c r="J116" s="249"/>
      <c r="K116" s="162"/>
      <c r="L116" s="162"/>
      <c r="M116" s="162"/>
      <c r="N116" s="162"/>
    </row>
    <row r="117" spans="2:23">
      <c r="C117" s="220">
        <f>'CLB 12 31 2017 999999'!C120*1.022</f>
        <v>0.40992513443493767</v>
      </c>
      <c r="D117" s="220"/>
      <c r="E117" s="208"/>
      <c r="F117" s="160" t="s">
        <v>221</v>
      </c>
      <c r="G117" s="160"/>
    </row>
    <row r="118" spans="2:23">
      <c r="C118" s="220">
        <f>'CLB 12 31 2017 999999'!C121*1.022</f>
        <v>0.49457044243035231</v>
      </c>
      <c r="D118" s="220"/>
      <c r="E118" s="208"/>
      <c r="F118" s="160" t="s">
        <v>222</v>
      </c>
      <c r="G118" s="160"/>
      <c r="H118" s="250"/>
      <c r="I118" s="251"/>
      <c r="J118" s="252"/>
    </row>
    <row r="119" spans="2:23">
      <c r="C119" s="220">
        <f>'CLB 12 31 2017 999999'!C122*1.022</f>
        <v>0.64814121550774806</v>
      </c>
      <c r="D119" s="220"/>
      <c r="E119" s="208"/>
      <c r="F119" s="160" t="s">
        <v>223</v>
      </c>
      <c r="G119" s="160"/>
      <c r="I119" s="208"/>
      <c r="J119" s="252"/>
    </row>
    <row r="120" spans="2:23">
      <c r="H120" s="253"/>
      <c r="I120" s="254"/>
      <c r="J120" s="255"/>
    </row>
    <row r="121" spans="2:23">
      <c r="C121" s="263" t="s">
        <v>224</v>
      </c>
      <c r="D121" s="166"/>
      <c r="E121" s="256"/>
      <c r="F121" s="256"/>
      <c r="G121" s="256"/>
      <c r="I121" s="257"/>
      <c r="J121" s="258"/>
    </row>
    <row r="122" spans="2:23">
      <c r="C122" s="165" t="s">
        <v>358</v>
      </c>
      <c r="D122" s="165"/>
      <c r="E122" s="259"/>
      <c r="F122" s="259"/>
      <c r="G122" s="259"/>
      <c r="K122" s="208"/>
      <c r="L122" s="260"/>
      <c r="M122" s="211"/>
      <c r="N122" s="208"/>
      <c r="P122" s="208"/>
      <c r="Q122" s="227">
        <f>1.351*1.022</f>
        <v>1.380722</v>
      </c>
    </row>
    <row r="123" spans="2:23">
      <c r="C123" s="165" t="s">
        <v>359</v>
      </c>
      <c r="D123" s="165"/>
      <c r="E123" s="256"/>
      <c r="F123" s="256"/>
      <c r="G123" s="256"/>
    </row>
    <row r="124" spans="2:23">
      <c r="C124" s="165" t="s">
        <v>227</v>
      </c>
      <c r="D124" s="165"/>
      <c r="E124" s="258"/>
      <c r="F124" s="258"/>
      <c r="G124" s="258"/>
    </row>
    <row r="125" spans="2:23">
      <c r="C125" s="165" t="s">
        <v>228</v>
      </c>
      <c r="D125" s="165"/>
      <c r="E125" s="258"/>
      <c r="F125" s="258"/>
      <c r="G125" s="258"/>
    </row>
    <row r="126" spans="2:23">
      <c r="C126" s="165" t="s">
        <v>229</v>
      </c>
      <c r="D126" s="165"/>
      <c r="H126" s="160"/>
      <c r="I126" s="236"/>
      <c r="J126" s="83"/>
      <c r="K126" s="83"/>
    </row>
    <row r="127" spans="2:23">
      <c r="C127" s="165"/>
      <c r="D127" s="165"/>
      <c r="H127" s="160"/>
      <c r="I127" s="236"/>
      <c r="J127" s="83"/>
      <c r="K127" s="83"/>
    </row>
    <row r="128" spans="2:23">
      <c r="C128" s="83" t="s">
        <v>360</v>
      </c>
      <c r="D128" s="83"/>
      <c r="E128" s="83"/>
      <c r="F128" s="83"/>
      <c r="G128" s="83"/>
      <c r="H128" s="160"/>
      <c r="I128" s="236"/>
      <c r="J128" s="83"/>
      <c r="K128" s="83"/>
    </row>
    <row r="129" spans="2:23">
      <c r="C129" s="210" t="s">
        <v>361</v>
      </c>
      <c r="Q129" s="227">
        <f>1.202*1.022</f>
        <v>1.2284439999999999</v>
      </c>
    </row>
    <row r="130" spans="2:23">
      <c r="C130" s="210" t="s">
        <v>362</v>
      </c>
    </row>
    <row r="131" spans="2:23">
      <c r="E131" s="83"/>
      <c r="F131" s="83"/>
      <c r="G131" s="83"/>
    </row>
    <row r="132" spans="2:23" s="164" customFormat="1">
      <c r="B132" s="159"/>
      <c r="C132" s="165" t="s">
        <v>363</v>
      </c>
      <c r="D132" s="166"/>
      <c r="E132" s="83"/>
      <c r="F132" s="83"/>
      <c r="G132" s="83"/>
      <c r="H132" s="160"/>
      <c r="I132" s="167"/>
      <c r="J132" s="83"/>
      <c r="K132" s="83"/>
      <c r="L132" s="83"/>
      <c r="M132" s="162"/>
      <c r="N132" s="162"/>
      <c r="O132" s="159"/>
      <c r="P132" s="159"/>
      <c r="Q132" s="227"/>
      <c r="R132" s="227"/>
      <c r="S132" s="208"/>
      <c r="T132" s="208"/>
      <c r="U132" s="208"/>
      <c r="V132" s="208"/>
      <c r="W132" s="208"/>
    </row>
    <row r="133" spans="2:23">
      <c r="C133" s="165" t="s">
        <v>181</v>
      </c>
      <c r="D133" s="165"/>
      <c r="E133" s="83"/>
      <c r="F133" s="83"/>
      <c r="G133" s="83"/>
      <c r="H133" s="160"/>
      <c r="J133" s="83"/>
      <c r="K133" s="83"/>
      <c r="L133" s="83"/>
      <c r="M133" s="162"/>
      <c r="N133" s="162"/>
    </row>
    <row r="134" spans="2:23" ht="26.25">
      <c r="C134" s="166"/>
      <c r="D134" s="166"/>
      <c r="E134" s="83"/>
      <c r="F134" s="208"/>
      <c r="G134" s="168" t="s">
        <v>182</v>
      </c>
      <c r="H134" s="169" t="s">
        <v>183</v>
      </c>
      <c r="I134" s="208"/>
      <c r="J134" s="83"/>
      <c r="K134" s="83"/>
      <c r="L134" s="83"/>
      <c r="M134" s="162"/>
      <c r="N134" s="162"/>
    </row>
    <row r="135" spans="2:23">
      <c r="C135" s="208"/>
      <c r="D135" s="208"/>
      <c r="E135" s="83"/>
      <c r="F135" s="208"/>
      <c r="G135" s="162" t="s">
        <v>154</v>
      </c>
      <c r="H135" s="162" t="s">
        <v>184</v>
      </c>
      <c r="I135" s="208"/>
      <c r="J135" s="83"/>
      <c r="K135" s="83"/>
      <c r="L135" s="83"/>
      <c r="M135" s="162"/>
      <c r="N135" s="162"/>
    </row>
    <row r="136" spans="2:23">
      <c r="C136" s="163"/>
      <c r="D136" s="163"/>
      <c r="E136" s="83"/>
      <c r="F136" s="208"/>
      <c r="G136" s="162" t="s">
        <v>156</v>
      </c>
      <c r="H136" s="162" t="s">
        <v>185</v>
      </c>
      <c r="I136" s="208"/>
      <c r="J136" s="83"/>
      <c r="K136" s="83"/>
      <c r="L136" s="83"/>
      <c r="M136" s="162"/>
      <c r="N136" s="162"/>
    </row>
    <row r="137" spans="2:23">
      <c r="C137" s="208"/>
      <c r="D137" s="160"/>
      <c r="E137" s="208"/>
      <c r="F137" s="208"/>
      <c r="G137" s="162" t="s">
        <v>158</v>
      </c>
      <c r="H137" s="162" t="s">
        <v>186</v>
      </c>
      <c r="I137" s="208"/>
      <c r="J137" s="83"/>
      <c r="K137" s="83"/>
      <c r="L137" s="83"/>
      <c r="M137" s="162"/>
      <c r="N137" s="162"/>
    </row>
    <row r="138" spans="2:23">
      <c r="C138" s="163"/>
      <c r="D138" s="163"/>
      <c r="E138" s="83"/>
      <c r="F138" s="83"/>
      <c r="G138" s="83"/>
      <c r="H138" s="160"/>
      <c r="I138" s="236"/>
      <c r="J138" s="83"/>
      <c r="K138" s="83"/>
      <c r="L138" s="83"/>
      <c r="M138" s="162"/>
      <c r="N138" s="162"/>
    </row>
    <row r="139" spans="2:23">
      <c r="C139" s="264" t="s">
        <v>364</v>
      </c>
    </row>
    <row r="140" spans="2:23">
      <c r="C140" s="265" t="s">
        <v>365</v>
      </c>
    </row>
    <row r="141" spans="2:23">
      <c r="C141" s="210" t="s">
        <v>366</v>
      </c>
    </row>
    <row r="142" spans="2:23" ht="12.75" customHeight="1">
      <c r="C142" s="159"/>
    </row>
    <row r="143" spans="2:23">
      <c r="C143" s="265" t="s">
        <v>367</v>
      </c>
    </row>
    <row r="144" spans="2:23" ht="12.75" customHeight="1">
      <c r="C144" s="265" t="s">
        <v>368</v>
      </c>
    </row>
    <row r="145" spans="3:3" ht="12.75" customHeight="1">
      <c r="C145" s="159"/>
    </row>
    <row r="146" spans="3:3">
      <c r="C146" s="265" t="s">
        <v>369</v>
      </c>
    </row>
    <row r="147" spans="3:3">
      <c r="C147" s="210" t="s">
        <v>370</v>
      </c>
    </row>
  </sheetData>
  <sheetProtection formatRows="0" insertColumns="0" selectLockedCells="1" selectUnlockedCells="1"/>
  <mergeCells count="1">
    <mergeCell ref="C55:O55"/>
  </mergeCells>
  <pageMargins left="0.25" right="0.25" top="0.75" bottom="0.75" header="0.3" footer="0.3"/>
  <pageSetup scale="98" orientation="landscape" r:id="rId1"/>
  <headerFooter alignWithMargins="0"/>
  <rowBreaks count="2" manualBreakCount="2">
    <brk id="76" max="16383" man="1"/>
    <brk id="84"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R149"/>
  <sheetViews>
    <sheetView topLeftCell="I113" zoomScaleNormal="100" workbookViewId="0">
      <selection activeCell="H125" sqref="H125"/>
    </sheetView>
  </sheetViews>
  <sheetFormatPr defaultColWidth="9.140625" defaultRowHeight="15"/>
  <cols>
    <col min="1" max="1" width="10" style="159" bestFit="1" customWidth="1"/>
    <col min="2" max="2" width="13.5703125" style="159" hidden="1" customWidth="1"/>
    <col min="3" max="3" width="7" style="167" customWidth="1"/>
    <col min="4" max="4" width="9" style="159" customWidth="1"/>
    <col min="5" max="5" width="16.28515625" style="210" customWidth="1"/>
    <col min="6" max="6" width="9.85546875" style="210" customWidth="1"/>
    <col min="7" max="7" width="9.28515625" style="159" bestFit="1" customWidth="1"/>
    <col min="8" max="8" width="60" style="211" customWidth="1"/>
    <col min="9" max="9" width="13.140625" style="167" customWidth="1"/>
    <col min="10" max="14" width="13.140625" style="159" customWidth="1"/>
    <col min="15" max="15" width="7.5703125" style="159" bestFit="1" customWidth="1"/>
    <col min="16" max="16" width="9.5703125" style="279" bestFit="1" customWidth="1"/>
    <col min="17" max="17" width="57.85546875" style="279" bestFit="1" customWidth="1"/>
    <col min="18" max="18" width="12.140625" style="279" bestFit="1" customWidth="1"/>
    <col min="19" max="23" width="7.5703125" style="279" bestFit="1" customWidth="1"/>
    <col min="24" max="24" width="7.5703125" style="293" bestFit="1" customWidth="1"/>
    <col min="25" max="25" width="6.5703125" style="294" bestFit="1" customWidth="1"/>
    <col min="26" max="33" width="8.42578125" style="167" customWidth="1"/>
    <col min="34" max="16384" width="9.140625" style="167"/>
  </cols>
  <sheetData>
    <row r="1" spans="1:27">
      <c r="A1" s="209" t="s">
        <v>316</v>
      </c>
      <c r="O1" s="167"/>
      <c r="P1" s="292"/>
      <c r="Q1" s="292"/>
      <c r="R1" s="279" t="s">
        <v>371</v>
      </c>
      <c r="S1" s="279">
        <v>1.0235000000000001</v>
      </c>
    </row>
    <row r="2" spans="1:27">
      <c r="A2" s="212" t="s">
        <v>0</v>
      </c>
      <c r="B2" s="162"/>
      <c r="D2" s="167"/>
      <c r="E2" s="159"/>
      <c r="F2" s="211"/>
      <c r="G2" s="162"/>
      <c r="H2" s="162"/>
      <c r="I2" s="162"/>
      <c r="J2" s="162"/>
      <c r="K2" s="162"/>
    </row>
    <row r="3" spans="1:27">
      <c r="A3" s="212" t="s">
        <v>372</v>
      </c>
      <c r="B3" s="213"/>
      <c r="D3" s="167"/>
      <c r="E3" s="209"/>
      <c r="F3" s="211"/>
      <c r="G3" s="213"/>
      <c r="H3" s="213"/>
      <c r="I3" s="213"/>
      <c r="J3" s="213"/>
      <c r="K3" s="213"/>
    </row>
    <row r="4" spans="1:27">
      <c r="A4" s="159" t="s">
        <v>318</v>
      </c>
      <c r="D4" s="167"/>
    </row>
    <row r="5" spans="1:27" ht="30">
      <c r="A5" s="215" t="s">
        <v>373</v>
      </c>
      <c r="B5" s="216" t="s">
        <v>5</v>
      </c>
      <c r="C5" s="216" t="s">
        <v>2</v>
      </c>
      <c r="D5" s="216" t="s">
        <v>374</v>
      </c>
      <c r="E5" s="216" t="s">
        <v>375</v>
      </c>
      <c r="F5" s="215" t="s">
        <v>376</v>
      </c>
      <c r="G5" s="216" t="s">
        <v>7</v>
      </c>
      <c r="H5" s="217" t="s">
        <v>8</v>
      </c>
      <c r="I5" s="213" t="s">
        <v>9</v>
      </c>
      <c r="J5" s="213" t="s">
        <v>10</v>
      </c>
      <c r="K5" s="213" t="s">
        <v>11</v>
      </c>
      <c r="L5" s="213" t="s">
        <v>12</v>
      </c>
      <c r="M5" s="213" t="s">
        <v>13</v>
      </c>
      <c r="N5" s="213" t="s">
        <v>14</v>
      </c>
      <c r="O5" s="213" t="s">
        <v>15</v>
      </c>
      <c r="P5" s="281" t="s">
        <v>7</v>
      </c>
      <c r="Q5" s="282" t="s">
        <v>8</v>
      </c>
      <c r="R5" s="283" t="s">
        <v>9</v>
      </c>
      <c r="S5" s="283" t="s">
        <v>10</v>
      </c>
      <c r="T5" s="283" t="s">
        <v>11</v>
      </c>
      <c r="U5" s="283" t="s">
        <v>12</v>
      </c>
      <c r="V5" s="283" t="s">
        <v>13</v>
      </c>
      <c r="W5" s="283" t="s">
        <v>14</v>
      </c>
      <c r="X5" s="283" t="s">
        <v>15</v>
      </c>
    </row>
    <row r="6" spans="1:27">
      <c r="A6" s="219">
        <v>15</v>
      </c>
      <c r="B6" s="219">
        <v>15</v>
      </c>
      <c r="C6" s="162">
        <v>228</v>
      </c>
      <c r="D6" s="162">
        <v>5</v>
      </c>
      <c r="E6" s="162" t="s">
        <v>17</v>
      </c>
      <c r="F6" s="162" t="s">
        <v>18</v>
      </c>
      <c r="G6" s="162" t="s">
        <v>45</v>
      </c>
      <c r="H6" s="211" t="s">
        <v>46</v>
      </c>
      <c r="I6" s="269">
        <f t="shared" ref="I6:I14" si="0">((VLOOKUP($G6,Year2018,3,0)+1.58)*1.0235)-1.74</f>
        <v>29.044280309999998</v>
      </c>
      <c r="J6" s="269"/>
      <c r="K6" s="269"/>
      <c r="L6" s="269"/>
      <c r="M6" s="269"/>
      <c r="N6" s="269"/>
      <c r="O6" s="269"/>
      <c r="P6" s="279" t="str">
        <f>G6</f>
        <v>00500C</v>
      </c>
      <c r="Q6" s="279" t="str">
        <f>H6</f>
        <v>Asphalt Raker</v>
      </c>
      <c r="R6" s="284">
        <f>I6</f>
        <v>29.044280309999998</v>
      </c>
      <c r="S6" s="284"/>
      <c r="T6" s="284"/>
      <c r="U6" s="284"/>
      <c r="V6" s="284"/>
      <c r="W6" s="284"/>
      <c r="X6" s="284"/>
      <c r="Y6" s="167"/>
      <c r="AA6" s="219"/>
    </row>
    <row r="7" spans="1:27">
      <c r="A7" s="219" t="s">
        <v>319</v>
      </c>
      <c r="B7" s="219" t="s">
        <v>19</v>
      </c>
      <c r="C7" s="162">
        <v>228</v>
      </c>
      <c r="D7" s="162">
        <v>5</v>
      </c>
      <c r="E7" s="162" t="s">
        <v>17</v>
      </c>
      <c r="F7" s="162" t="s">
        <v>18</v>
      </c>
      <c r="G7" s="162" t="s">
        <v>21</v>
      </c>
      <c r="H7" s="211" t="s">
        <v>22</v>
      </c>
      <c r="I7" s="269">
        <f t="shared" si="0"/>
        <v>25.289446170821961</v>
      </c>
      <c r="J7" s="269">
        <f>((VLOOKUP($G7,Year2018,4,0)+1.58)*1.0235)-1.74</f>
        <v>26.083330608098436</v>
      </c>
      <c r="K7" s="269">
        <f>((VLOOKUP($G7,Year2018,5,0)+1.58)*1.0235)-1.74</f>
        <v>26.9010315784932</v>
      </c>
      <c r="L7" s="269">
        <f>((VLOOKUP($G7,Year2018,6,0)+1.58)*1.0235)-1.74</f>
        <v>27.743263577999816</v>
      </c>
      <c r="M7" s="269"/>
      <c r="N7" s="269"/>
      <c r="O7" s="269"/>
      <c r="P7" s="279" t="str">
        <f t="shared" ref="P7:P53" si="1">G7</f>
        <v>00505C</v>
      </c>
      <c r="Q7" s="279" t="str">
        <f t="shared" ref="Q7:Q53" si="2">H7</f>
        <v>Asphalt Raker Apprentice I (1st 522 hours)</v>
      </c>
      <c r="R7" s="284">
        <f t="shared" ref="R7:R42" si="3">I7</f>
        <v>25.289446170821961</v>
      </c>
      <c r="S7" s="284">
        <f t="shared" ref="S7:S41" si="4">J7</f>
        <v>26.083330608098436</v>
      </c>
      <c r="T7" s="284">
        <f t="shared" ref="T7:T41" si="5">K7</f>
        <v>26.9010315784932</v>
      </c>
      <c r="U7" s="284">
        <f t="shared" ref="U7:U41" si="6">L7</f>
        <v>27.743263577999816</v>
      </c>
      <c r="V7" s="284"/>
      <c r="W7" s="284"/>
      <c r="X7" s="284"/>
      <c r="Y7" s="167"/>
      <c r="AA7" s="219"/>
    </row>
    <row r="8" spans="1:27">
      <c r="A8" s="219" t="s">
        <v>321</v>
      </c>
      <c r="B8" s="219" t="s">
        <v>19</v>
      </c>
      <c r="C8" s="162">
        <v>228</v>
      </c>
      <c r="D8" s="162">
        <v>5</v>
      </c>
      <c r="E8" s="162" t="s">
        <v>17</v>
      </c>
      <c r="F8" s="162" t="s">
        <v>18</v>
      </c>
      <c r="G8" s="162" t="s">
        <v>25</v>
      </c>
      <c r="H8" s="211" t="s">
        <v>26</v>
      </c>
      <c r="I8" s="269">
        <f t="shared" si="0"/>
        <v>25.714124958730331</v>
      </c>
      <c r="J8" s="269">
        <f>((VLOOKUP($G8,Year2018,4,0)+1.58)*1.0235)-1.74</f>
        <v>26.508009396006806</v>
      </c>
      <c r="K8" s="269">
        <f>((VLOOKUP($G8,Year2018,5,0)+1.58)*1.0235)-1.74</f>
        <v>27.325710366401569</v>
      </c>
      <c r="L8" s="269">
        <f>((VLOOKUP($G8,Year2018,6,0)+1.58)*1.0235)-1.74</f>
        <v>28.167942365908178</v>
      </c>
      <c r="M8" s="269"/>
      <c r="N8" s="269"/>
      <c r="O8" s="269"/>
      <c r="P8" s="279" t="str">
        <f t="shared" si="1"/>
        <v>00507C</v>
      </c>
      <c r="Q8" s="279" t="str">
        <f t="shared" si="2"/>
        <v>Asphalt Raker Apprentice II (2nd 522 hours)</v>
      </c>
      <c r="R8" s="284">
        <f t="shared" si="3"/>
        <v>25.714124958730331</v>
      </c>
      <c r="S8" s="284">
        <f t="shared" si="4"/>
        <v>26.508009396006806</v>
      </c>
      <c r="T8" s="284">
        <f t="shared" si="5"/>
        <v>27.325710366401569</v>
      </c>
      <c r="U8" s="284">
        <f t="shared" si="6"/>
        <v>28.167942365908178</v>
      </c>
      <c r="V8" s="284"/>
      <c r="W8" s="284"/>
      <c r="X8" s="284"/>
      <c r="Y8" s="167"/>
      <c r="AA8" s="219"/>
    </row>
    <row r="9" spans="1:27">
      <c r="A9" s="219" t="s">
        <v>47</v>
      </c>
      <c r="B9" s="219" t="s">
        <v>47</v>
      </c>
      <c r="C9" s="162">
        <v>178</v>
      </c>
      <c r="D9" s="162">
        <v>3</v>
      </c>
      <c r="E9" s="162" t="s">
        <v>17</v>
      </c>
      <c r="F9" s="162" t="s">
        <v>18</v>
      </c>
      <c r="G9" s="162" t="s">
        <v>48</v>
      </c>
      <c r="H9" s="211" t="s">
        <v>49</v>
      </c>
      <c r="I9" s="269">
        <f t="shared" si="0"/>
        <v>15.206915809160224</v>
      </c>
      <c r="J9" s="269">
        <f>((VLOOKUP($G9,Year2018,4,0)+1.58)*1.0235)-1.74</f>
        <v>17.713694893319232</v>
      </c>
      <c r="K9" s="269">
        <f>((VLOOKUP($G9,Year2018,5,0)+1.58)*1.0235)-1.74</f>
        <v>18.740220928282348</v>
      </c>
      <c r="L9" s="269">
        <f>((VLOOKUP($G9,Year2018,6,0)+1.58)*1.0235)-1.74</f>
        <v>23.583318118877532</v>
      </c>
      <c r="M9" s="269"/>
      <c r="N9" s="269"/>
      <c r="O9" s="269"/>
      <c r="P9" s="279" t="str">
        <f t="shared" si="1"/>
        <v>01060C</v>
      </c>
      <c r="Q9" s="279" t="str">
        <f t="shared" si="2"/>
        <v>Attendant Impound Lot</v>
      </c>
      <c r="R9" s="284">
        <f t="shared" si="3"/>
        <v>15.206915809160224</v>
      </c>
      <c r="S9" s="284">
        <f t="shared" si="4"/>
        <v>17.713694893319232</v>
      </c>
      <c r="T9" s="284">
        <f t="shared" si="5"/>
        <v>18.740220928282348</v>
      </c>
      <c r="U9" s="284">
        <f t="shared" si="6"/>
        <v>23.583318118877532</v>
      </c>
      <c r="V9" s="284"/>
      <c r="W9" s="284"/>
      <c r="X9" s="284"/>
      <c r="Y9" s="167"/>
      <c r="AA9" s="219"/>
    </row>
    <row r="10" spans="1:27">
      <c r="A10" s="219">
        <v>18</v>
      </c>
      <c r="B10" s="219">
        <v>18</v>
      </c>
      <c r="C10" s="162">
        <v>280</v>
      </c>
      <c r="D10" s="162">
        <v>6</v>
      </c>
      <c r="E10" s="162" t="s">
        <v>17</v>
      </c>
      <c r="F10" s="162" t="s">
        <v>18</v>
      </c>
      <c r="G10" s="162" t="s">
        <v>50</v>
      </c>
      <c r="H10" s="211" t="s">
        <v>51</v>
      </c>
      <c r="I10" s="269">
        <f t="shared" si="0"/>
        <v>32.54843726</v>
      </c>
      <c r="J10" s="269"/>
      <c r="K10" s="269"/>
      <c r="L10" s="269"/>
      <c r="M10" s="269"/>
      <c r="N10" s="269"/>
      <c r="O10" s="269"/>
      <c r="P10" s="279" t="str">
        <f t="shared" si="1"/>
        <v>01570C</v>
      </c>
      <c r="Q10" s="279" t="str">
        <f t="shared" si="2"/>
        <v>Cement Finisher Journeyman</v>
      </c>
      <c r="R10" s="284">
        <f t="shared" si="3"/>
        <v>32.54843726</v>
      </c>
      <c r="S10" s="284"/>
      <c r="T10" s="284"/>
      <c r="U10" s="284"/>
      <c r="V10" s="284"/>
      <c r="W10" s="284"/>
      <c r="X10" s="284"/>
      <c r="Y10" s="167"/>
      <c r="AA10" s="219"/>
    </row>
    <row r="11" spans="1:27">
      <c r="A11" s="219" t="s">
        <v>321</v>
      </c>
      <c r="B11" s="219" t="s">
        <v>19</v>
      </c>
      <c r="C11" s="162">
        <v>280</v>
      </c>
      <c r="D11" s="162">
        <v>6</v>
      </c>
      <c r="E11" s="162" t="s">
        <v>17</v>
      </c>
      <c r="F11" s="162" t="s">
        <v>18</v>
      </c>
      <c r="G11" s="162" t="s">
        <v>31</v>
      </c>
      <c r="H11" s="211" t="s">
        <v>32</v>
      </c>
      <c r="I11" s="269">
        <f t="shared" si="0"/>
        <v>25.714124958730331</v>
      </c>
      <c r="J11" s="269">
        <f>((VLOOKUP($G11,Year2018,4,0)+1.58)*1.0235)-1.74</f>
        <v>26.508009396006806</v>
      </c>
      <c r="K11" s="269">
        <f>((VLOOKUP($G11,Year2018,5,0)+1.58)*1.0235)-1.74</f>
        <v>27.325710366401569</v>
      </c>
      <c r="L11" s="269">
        <f>((VLOOKUP($G11,Year2018,6,0)+1.58)*1.0235)-1.74</f>
        <v>28.167942365908178</v>
      </c>
      <c r="M11" s="269"/>
      <c r="N11" s="269"/>
      <c r="O11" s="269"/>
      <c r="P11" s="279" t="str">
        <f t="shared" si="1"/>
        <v>01585C</v>
      </c>
      <c r="Q11" s="279" t="str">
        <f t="shared" si="2"/>
        <v>Cement Finisher Apprentice I (1st 174 hours)</v>
      </c>
      <c r="R11" s="284">
        <f t="shared" si="3"/>
        <v>25.714124958730331</v>
      </c>
      <c r="S11" s="284">
        <f t="shared" si="4"/>
        <v>26.508009396006806</v>
      </c>
      <c r="T11" s="284">
        <f t="shared" si="5"/>
        <v>27.325710366401569</v>
      </c>
      <c r="U11" s="284">
        <f t="shared" si="6"/>
        <v>28.167942365908178</v>
      </c>
      <c r="V11" s="284"/>
      <c r="W11" s="284"/>
      <c r="X11" s="284"/>
      <c r="Y11" s="167"/>
      <c r="AA11" s="219"/>
    </row>
    <row r="12" spans="1:27">
      <c r="A12" s="219" t="s">
        <v>322</v>
      </c>
      <c r="B12" s="219" t="s">
        <v>19</v>
      </c>
      <c r="C12" s="162">
        <v>280</v>
      </c>
      <c r="D12" s="162">
        <v>6</v>
      </c>
      <c r="E12" s="162" t="s">
        <v>17</v>
      </c>
      <c r="F12" s="162" t="s">
        <v>18</v>
      </c>
      <c r="G12" s="162" t="s">
        <v>35</v>
      </c>
      <c r="H12" s="211" t="s">
        <v>36</v>
      </c>
      <c r="I12" s="269">
        <f t="shared" si="0"/>
        <v>26.078135348366068</v>
      </c>
      <c r="J12" s="269">
        <f>((VLOOKUP($G12,Year2018,4,0)+1.58)*1.0235)-1.74</f>
        <v>26.872019785642546</v>
      </c>
      <c r="K12" s="269">
        <f>((VLOOKUP($G12,Year2018,5,0)+1.58)*1.0235)-1.74</f>
        <v>27.68972075603731</v>
      </c>
      <c r="L12" s="269">
        <f>((VLOOKUP($G12,Year2018,6,0)+1.58)*1.0235)-1.74</f>
        <v>28.531952755543923</v>
      </c>
      <c r="M12" s="269"/>
      <c r="N12" s="269"/>
      <c r="O12" s="269"/>
      <c r="P12" s="279" t="str">
        <f t="shared" si="1"/>
        <v>01586C</v>
      </c>
      <c r="Q12" s="279" t="str">
        <f t="shared" si="2"/>
        <v>Cement Finisher Apprentice II (Next 696 hours)</v>
      </c>
      <c r="R12" s="284">
        <f t="shared" si="3"/>
        <v>26.078135348366068</v>
      </c>
      <c r="S12" s="284">
        <f t="shared" si="4"/>
        <v>26.872019785642546</v>
      </c>
      <c r="T12" s="284">
        <f t="shared" si="5"/>
        <v>27.68972075603731</v>
      </c>
      <c r="U12" s="284">
        <f t="shared" si="6"/>
        <v>28.531952755543923</v>
      </c>
      <c r="V12" s="284"/>
      <c r="W12" s="284"/>
      <c r="X12" s="284"/>
      <c r="Y12" s="167"/>
      <c r="AA12" s="219"/>
    </row>
    <row r="13" spans="1:27">
      <c r="A13" s="219" t="s">
        <v>323</v>
      </c>
      <c r="B13" s="219" t="s">
        <v>19</v>
      </c>
      <c r="C13" s="162">
        <v>280</v>
      </c>
      <c r="D13" s="162">
        <v>6</v>
      </c>
      <c r="E13" s="162" t="s">
        <v>17</v>
      </c>
      <c r="F13" s="162" t="s">
        <v>18</v>
      </c>
      <c r="G13" s="162" t="s">
        <v>39</v>
      </c>
      <c r="H13" s="211" t="s">
        <v>40</v>
      </c>
      <c r="I13" s="269">
        <f t="shared" si="0"/>
        <v>27.230834915545923</v>
      </c>
      <c r="J13" s="269">
        <f>((VLOOKUP($G13,Year2018,4,0)+1.58)*1.0235)-1.74</f>
        <v>28.024719352822402</v>
      </c>
      <c r="K13" s="269">
        <f>((VLOOKUP($G13,Year2018,5,0)+1.58)*1.0235)-1.74</f>
        <v>28.842420323217166</v>
      </c>
      <c r="L13" s="269">
        <f>((VLOOKUP($G13,Year2018,6,0)+1.58)*1.0235)-1.74</f>
        <v>29.684652322723778</v>
      </c>
      <c r="M13" s="269"/>
      <c r="N13" s="269"/>
      <c r="O13" s="269"/>
      <c r="P13" s="279" t="str">
        <f t="shared" si="1"/>
        <v>01587C</v>
      </c>
      <c r="Q13" s="279" t="str">
        <f t="shared" si="2"/>
        <v>Cement Finisher Apprentice III (Next 696 hours)</v>
      </c>
      <c r="R13" s="284">
        <f t="shared" si="3"/>
        <v>27.230834915545923</v>
      </c>
      <c r="S13" s="284">
        <f t="shared" si="4"/>
        <v>28.024719352822402</v>
      </c>
      <c r="T13" s="284">
        <f t="shared" si="5"/>
        <v>28.842420323217166</v>
      </c>
      <c r="U13" s="284">
        <f t="shared" si="6"/>
        <v>29.684652322723778</v>
      </c>
      <c r="V13" s="284"/>
      <c r="W13" s="284"/>
      <c r="X13" s="284"/>
      <c r="Y13" s="167"/>
      <c r="AA13" s="219"/>
    </row>
    <row r="14" spans="1:27">
      <c r="A14" s="219" t="s">
        <v>324</v>
      </c>
      <c r="B14" s="219" t="s">
        <v>19</v>
      </c>
      <c r="C14" s="162">
        <v>280</v>
      </c>
      <c r="D14" s="162">
        <v>6</v>
      </c>
      <c r="E14" s="162" t="s">
        <v>17</v>
      </c>
      <c r="F14" s="162" t="s">
        <v>18</v>
      </c>
      <c r="G14" s="162" t="s">
        <v>42</v>
      </c>
      <c r="H14" s="211" t="s">
        <v>43</v>
      </c>
      <c r="I14" s="269">
        <f t="shared" si="0"/>
        <v>28.140860889635288</v>
      </c>
      <c r="J14" s="269">
        <f>((VLOOKUP($G14,Year2018,4,0)+1.58)*1.0235)-1.74</f>
        <v>28.934745326911766</v>
      </c>
      <c r="K14" s="269">
        <f>((VLOOKUP($G14,Year2018,5,0)+1.58)*1.0235)-1.74</f>
        <v>29.75244629730653</v>
      </c>
      <c r="L14" s="269">
        <f>((VLOOKUP($G14,Year2018,6,0)+1.58)*1.0235)-1.74</f>
        <v>30.594678296813139</v>
      </c>
      <c r="M14" s="269"/>
      <c r="N14" s="269"/>
      <c r="O14" s="269"/>
      <c r="P14" s="279" t="str">
        <f t="shared" si="1"/>
        <v>01588C</v>
      </c>
      <c r="Q14" s="279" t="str">
        <f t="shared" si="2"/>
        <v>Cement Finisher Apprentice IV (Next 696 hours)</v>
      </c>
      <c r="R14" s="284">
        <f t="shared" si="3"/>
        <v>28.140860889635288</v>
      </c>
      <c r="S14" s="284">
        <f t="shared" si="4"/>
        <v>28.934745326911766</v>
      </c>
      <c r="T14" s="284">
        <f t="shared" si="5"/>
        <v>29.75244629730653</v>
      </c>
      <c r="U14" s="284">
        <f t="shared" si="6"/>
        <v>30.594678296813139</v>
      </c>
      <c r="V14" s="284"/>
      <c r="W14" s="284"/>
      <c r="X14" s="284"/>
      <c r="Y14" s="167"/>
      <c r="AA14" s="219"/>
    </row>
    <row r="15" spans="1:27">
      <c r="A15" s="219" t="s">
        <v>332</v>
      </c>
      <c r="B15" s="219"/>
      <c r="C15" s="162">
        <v>273</v>
      </c>
      <c r="D15" s="162">
        <v>6</v>
      </c>
      <c r="E15" s="162" t="s">
        <v>17</v>
      </c>
      <c r="F15" s="162" t="s">
        <v>18</v>
      </c>
      <c r="G15" s="162" t="s">
        <v>377</v>
      </c>
      <c r="H15" s="211" t="s">
        <v>378</v>
      </c>
      <c r="I15" s="269">
        <v>29.567288999999999</v>
      </c>
      <c r="J15" s="269"/>
      <c r="K15" s="269"/>
      <c r="L15" s="269"/>
      <c r="M15" s="269"/>
      <c r="N15" s="269"/>
      <c r="O15" s="269"/>
      <c r="P15" s="279" t="str">
        <f t="shared" si="1"/>
        <v>52921C</v>
      </c>
      <c r="Q15" s="279" t="str">
        <f t="shared" si="2"/>
        <v>Construction Crew Leader</v>
      </c>
      <c r="R15" s="284">
        <f t="shared" si="3"/>
        <v>29.567288999999999</v>
      </c>
      <c r="S15" s="284"/>
      <c r="T15" s="284"/>
      <c r="U15" s="284"/>
      <c r="V15" s="284"/>
      <c r="W15" s="284"/>
      <c r="X15" s="284"/>
      <c r="Y15" s="167"/>
      <c r="AA15" s="219"/>
    </row>
    <row r="16" spans="1:27">
      <c r="A16" s="219" t="s">
        <v>52</v>
      </c>
      <c r="B16" s="219" t="s">
        <v>52</v>
      </c>
      <c r="C16" s="162">
        <v>188</v>
      </c>
      <c r="D16" s="162">
        <v>4</v>
      </c>
      <c r="E16" s="162" t="s">
        <v>17</v>
      </c>
      <c r="F16" s="162" t="s">
        <v>18</v>
      </c>
      <c r="G16" s="162" t="s">
        <v>53</v>
      </c>
      <c r="H16" s="211" t="s">
        <v>54</v>
      </c>
      <c r="I16" s="269">
        <f t="shared" ref="I16:I42" si="7">((VLOOKUP($G16,Year2018,3,0)+1.58)*1.0235)-1.74</f>
        <v>18.349163391153539</v>
      </c>
      <c r="J16" s="269">
        <f t="shared" ref="J16:J21" si="8">((VLOOKUP($G16,Year2018,4,0)+1.58)*1.0235)-1.74</f>
        <v>21.074032255634371</v>
      </c>
      <c r="K16" s="269">
        <f t="shared" ref="K16:K21" si="9">((VLOOKUP($G16,Year2018,5,0)+1.58)*1.0235)-1.74</f>
        <v>25.53108546726909</v>
      </c>
      <c r="L16" s="269"/>
      <c r="M16" s="269"/>
      <c r="N16" s="269"/>
      <c r="O16" s="269"/>
      <c r="P16" s="279" t="str">
        <f t="shared" si="1"/>
        <v>02616C</v>
      </c>
      <c r="Q16" s="279" t="str">
        <f t="shared" si="2"/>
        <v>Constr Maint Labor WU Shop-C</v>
      </c>
      <c r="R16" s="284">
        <f t="shared" si="3"/>
        <v>18.349163391153539</v>
      </c>
      <c r="S16" s="284">
        <f t="shared" si="4"/>
        <v>21.074032255634371</v>
      </c>
      <c r="T16" s="284">
        <f t="shared" si="5"/>
        <v>25.53108546726909</v>
      </c>
      <c r="U16" s="284">
        <f t="shared" si="6"/>
        <v>0</v>
      </c>
      <c r="V16" s="284"/>
      <c r="W16" s="284"/>
      <c r="X16" s="284"/>
      <c r="Y16" s="167"/>
      <c r="AA16" s="219"/>
    </row>
    <row r="17" spans="1:27">
      <c r="A17" s="219" t="s">
        <v>52</v>
      </c>
      <c r="B17" s="219" t="s">
        <v>52</v>
      </c>
      <c r="C17" s="162">
        <v>188</v>
      </c>
      <c r="D17" s="162">
        <v>4</v>
      </c>
      <c r="E17" s="162" t="s">
        <v>17</v>
      </c>
      <c r="F17" s="162" t="s">
        <v>18</v>
      </c>
      <c r="G17" s="162" t="s">
        <v>56</v>
      </c>
      <c r="H17" s="211" t="s">
        <v>57</v>
      </c>
      <c r="I17" s="269">
        <f t="shared" si="7"/>
        <v>18.349163391153539</v>
      </c>
      <c r="J17" s="269">
        <f t="shared" si="8"/>
        <v>21.074032255634371</v>
      </c>
      <c r="K17" s="269">
        <f t="shared" si="9"/>
        <v>25.53108546726909</v>
      </c>
      <c r="L17" s="269"/>
      <c r="M17" s="269"/>
      <c r="N17" s="269"/>
      <c r="O17" s="269"/>
      <c r="P17" s="279" t="str">
        <f t="shared" si="1"/>
        <v>02610C</v>
      </c>
      <c r="Q17" s="279" t="str">
        <f t="shared" si="2"/>
        <v>Construction Maint Laborer</v>
      </c>
      <c r="R17" s="284">
        <f t="shared" si="3"/>
        <v>18.349163391153539</v>
      </c>
      <c r="S17" s="284">
        <f t="shared" si="4"/>
        <v>21.074032255634371</v>
      </c>
      <c r="T17" s="284">
        <f t="shared" si="5"/>
        <v>25.53108546726909</v>
      </c>
      <c r="U17" s="284">
        <f t="shared" si="6"/>
        <v>0</v>
      </c>
      <c r="V17" s="284"/>
      <c r="W17" s="284"/>
      <c r="X17" s="284"/>
      <c r="Y17" s="167"/>
      <c r="AA17" s="219"/>
    </row>
    <row r="18" spans="1:27">
      <c r="A18" s="219" t="s">
        <v>47</v>
      </c>
      <c r="B18" s="219" t="s">
        <v>47</v>
      </c>
      <c r="C18" s="162">
        <v>153</v>
      </c>
      <c r="D18" s="162">
        <v>3</v>
      </c>
      <c r="E18" s="162" t="s">
        <v>17</v>
      </c>
      <c r="F18" s="162" t="s">
        <v>18</v>
      </c>
      <c r="G18" s="162" t="s">
        <v>58</v>
      </c>
      <c r="H18" s="211" t="s">
        <v>59</v>
      </c>
      <c r="I18" s="269">
        <f t="shared" si="7"/>
        <v>15.206915809160224</v>
      </c>
      <c r="J18" s="269">
        <f t="shared" si="8"/>
        <v>17.713694893319232</v>
      </c>
      <c r="K18" s="269">
        <f t="shared" si="9"/>
        <v>18.740220928282348</v>
      </c>
      <c r="L18" s="269">
        <f>((VLOOKUP($G18,Year2018,6,0)+1.58)*1.0235)-1.74</f>
        <v>23.583318118877532</v>
      </c>
      <c r="M18" s="269"/>
      <c r="N18" s="269"/>
      <c r="O18" s="269"/>
      <c r="P18" s="279" t="str">
        <f t="shared" si="1"/>
        <v>05850C</v>
      </c>
      <c r="Q18" s="279" t="str">
        <f t="shared" si="2"/>
        <v>Custodian Property Services</v>
      </c>
      <c r="R18" s="284">
        <f t="shared" si="3"/>
        <v>15.206915809160224</v>
      </c>
      <c r="S18" s="284">
        <f t="shared" si="4"/>
        <v>17.713694893319232</v>
      </c>
      <c r="T18" s="284">
        <f t="shared" si="5"/>
        <v>18.740220928282348</v>
      </c>
      <c r="U18" s="284">
        <f t="shared" si="6"/>
        <v>23.583318118877532</v>
      </c>
      <c r="V18" s="284"/>
      <c r="W18" s="284"/>
      <c r="X18" s="284"/>
      <c r="Y18" s="167"/>
      <c r="AA18" s="219"/>
    </row>
    <row r="19" spans="1:27">
      <c r="A19" s="219" t="s">
        <v>47</v>
      </c>
      <c r="B19" s="219" t="s">
        <v>47</v>
      </c>
      <c r="C19" s="162">
        <v>160</v>
      </c>
      <c r="D19" s="162">
        <v>3</v>
      </c>
      <c r="E19" s="162" t="s">
        <v>17</v>
      </c>
      <c r="F19" s="162" t="s">
        <v>18</v>
      </c>
      <c r="G19" s="162" t="s">
        <v>60</v>
      </c>
      <c r="H19" s="211" t="s">
        <v>61</v>
      </c>
      <c r="I19" s="269">
        <f t="shared" si="7"/>
        <v>15.206915809160224</v>
      </c>
      <c r="J19" s="269">
        <f t="shared" si="8"/>
        <v>17.713694893319232</v>
      </c>
      <c r="K19" s="269">
        <f t="shared" si="9"/>
        <v>18.740220928282348</v>
      </c>
      <c r="L19" s="269">
        <f>((VLOOKUP($G19,Year2018,6,0)+1.58)*1.0235)-1.74</f>
        <v>23.583318118877532</v>
      </c>
      <c r="M19" s="269"/>
      <c r="N19" s="269"/>
      <c r="O19" s="269"/>
      <c r="P19" s="279" t="str">
        <f t="shared" si="1"/>
        <v>02960C</v>
      </c>
      <c r="Q19" s="279" t="str">
        <f t="shared" si="2"/>
        <v>Delivery Worker</v>
      </c>
      <c r="R19" s="284">
        <f t="shared" si="3"/>
        <v>15.206915809160224</v>
      </c>
      <c r="S19" s="284">
        <f t="shared" si="4"/>
        <v>17.713694893319232</v>
      </c>
      <c r="T19" s="284">
        <f t="shared" si="5"/>
        <v>18.740220928282348</v>
      </c>
      <c r="U19" s="284">
        <f t="shared" si="6"/>
        <v>23.583318118877532</v>
      </c>
      <c r="V19" s="284"/>
      <c r="W19" s="284"/>
      <c r="X19" s="284"/>
      <c r="Y19" s="167"/>
      <c r="AA19" s="219"/>
    </row>
    <row r="20" spans="1:27">
      <c r="A20" s="219" t="s">
        <v>62</v>
      </c>
      <c r="B20" s="219" t="s">
        <v>62</v>
      </c>
      <c r="C20" s="162">
        <v>190</v>
      </c>
      <c r="D20" s="162">
        <v>4</v>
      </c>
      <c r="E20" s="162" t="s">
        <v>17</v>
      </c>
      <c r="F20" s="162" t="s">
        <v>18</v>
      </c>
      <c r="G20" s="162" t="s">
        <v>63</v>
      </c>
      <c r="H20" s="211" t="s">
        <v>64</v>
      </c>
      <c r="I20" s="269">
        <f t="shared" si="7"/>
        <v>15.688217393318753</v>
      </c>
      <c r="J20" s="269">
        <f t="shared" si="8"/>
        <v>18.277720187255014</v>
      </c>
      <c r="K20" s="269">
        <f t="shared" si="9"/>
        <v>21.040190737998227</v>
      </c>
      <c r="L20" s="269">
        <f>((VLOOKUP($G20,Year2018,6,0)+1.58)*1.0235)-1.74</f>
        <v>25.425800745734406</v>
      </c>
      <c r="M20" s="269"/>
      <c r="N20" s="269"/>
      <c r="O20" s="269"/>
      <c r="P20" s="279" t="str">
        <f t="shared" si="1"/>
        <v>04170C</v>
      </c>
      <c r="Q20" s="279" t="str">
        <f t="shared" si="2"/>
        <v>Equipment Service Worker</v>
      </c>
      <c r="R20" s="284">
        <f t="shared" si="3"/>
        <v>15.688217393318753</v>
      </c>
      <c r="S20" s="284">
        <f t="shared" si="4"/>
        <v>18.277720187255014</v>
      </c>
      <c r="T20" s="284">
        <f t="shared" si="5"/>
        <v>21.040190737998227</v>
      </c>
      <c r="U20" s="284">
        <f t="shared" si="6"/>
        <v>25.425800745734406</v>
      </c>
      <c r="V20" s="284"/>
      <c r="W20" s="284"/>
      <c r="X20" s="284"/>
      <c r="Y20" s="167"/>
      <c r="AA20" s="219"/>
    </row>
    <row r="21" spans="1:27">
      <c r="A21" s="219" t="s">
        <v>65</v>
      </c>
      <c r="B21" s="219" t="s">
        <v>65</v>
      </c>
      <c r="C21" s="162">
        <v>263</v>
      </c>
      <c r="D21" s="162">
        <v>5</v>
      </c>
      <c r="E21" s="162" t="s">
        <v>17</v>
      </c>
      <c r="F21" s="162" t="s">
        <v>18</v>
      </c>
      <c r="G21" s="162" t="s">
        <v>66</v>
      </c>
      <c r="H21" s="211" t="s">
        <v>67</v>
      </c>
      <c r="I21" s="269">
        <f t="shared" si="7"/>
        <v>24.518346717268852</v>
      </c>
      <c r="J21" s="269">
        <f t="shared" si="8"/>
        <v>25.345583815041316</v>
      </c>
      <c r="K21" s="269">
        <f t="shared" si="9"/>
        <v>26.20164887228162</v>
      </c>
      <c r="L21" s="269">
        <f>((VLOOKUP($G21,Year2018,6,0)+1.58)*1.0235)-1.74</f>
        <v>27.257002866712558</v>
      </c>
      <c r="M21" s="269"/>
      <c r="N21" s="269"/>
      <c r="O21" s="269"/>
      <c r="P21" s="279" t="str">
        <f t="shared" si="1"/>
        <v>05958C</v>
      </c>
      <c r="Q21" s="279" t="str">
        <f t="shared" si="2"/>
        <v>Lead Custodian Property Services</v>
      </c>
      <c r="R21" s="284">
        <f t="shared" si="3"/>
        <v>24.518346717268852</v>
      </c>
      <c r="S21" s="284">
        <f t="shared" si="4"/>
        <v>25.345583815041316</v>
      </c>
      <c r="T21" s="284">
        <f t="shared" si="5"/>
        <v>26.20164887228162</v>
      </c>
      <c r="U21" s="284">
        <f t="shared" si="6"/>
        <v>27.257002866712558</v>
      </c>
      <c r="V21" s="284"/>
      <c r="W21" s="284"/>
      <c r="X21" s="284"/>
      <c r="Y21" s="167"/>
      <c r="AA21" s="219"/>
    </row>
    <row r="22" spans="1:27">
      <c r="A22" s="219">
        <v>11</v>
      </c>
      <c r="B22" s="219">
        <v>11</v>
      </c>
      <c r="C22" s="162">
        <v>205</v>
      </c>
      <c r="D22" s="162">
        <v>4</v>
      </c>
      <c r="E22" s="162" t="s">
        <v>17</v>
      </c>
      <c r="F22" s="162" t="s">
        <v>18</v>
      </c>
      <c r="G22" s="162" t="s">
        <v>68</v>
      </c>
      <c r="H22" s="211" t="s">
        <v>325</v>
      </c>
      <c r="I22" s="269">
        <f t="shared" si="7"/>
        <v>27.847561670142934</v>
      </c>
      <c r="J22" s="269"/>
      <c r="K22" s="269"/>
      <c r="L22" s="269"/>
      <c r="M22" s="269"/>
      <c r="N22" s="269"/>
      <c r="O22" s="269"/>
      <c r="P22" s="279" t="str">
        <f t="shared" si="1"/>
        <v>06030C</v>
      </c>
      <c r="Q22" s="279" t="str">
        <f t="shared" si="2"/>
        <v>Lead Pipe Layer I (Paving Const.)</v>
      </c>
      <c r="R22" s="284">
        <f t="shared" si="3"/>
        <v>27.847561670142934</v>
      </c>
      <c r="S22" s="284"/>
      <c r="T22" s="284"/>
      <c r="U22" s="284"/>
      <c r="V22" s="284"/>
      <c r="W22" s="284"/>
      <c r="X22" s="284"/>
      <c r="Y22" s="167"/>
      <c r="Z22" s="294"/>
      <c r="AA22" s="219"/>
    </row>
    <row r="23" spans="1:27">
      <c r="A23" s="219" t="s">
        <v>319</v>
      </c>
      <c r="B23" s="219" t="s">
        <v>19</v>
      </c>
      <c r="C23" s="162">
        <v>205</v>
      </c>
      <c r="D23" s="162">
        <v>4</v>
      </c>
      <c r="E23" s="162" t="s">
        <v>17</v>
      </c>
      <c r="F23" s="162" t="s">
        <v>18</v>
      </c>
      <c r="G23" s="162" t="s">
        <v>71</v>
      </c>
      <c r="H23" s="223" t="s">
        <v>379</v>
      </c>
      <c r="I23" s="269">
        <f t="shared" si="7"/>
        <v>25.289446170821961</v>
      </c>
      <c r="J23" s="269">
        <f>((VLOOKUP($G23,Year2018,4,0)+1.58)*1.0235)-1.74</f>
        <v>26.083330608098436</v>
      </c>
      <c r="K23" s="269">
        <f>((VLOOKUP($G23,Year2018,5,0)+1.58)*1.0235)-1.74</f>
        <v>26.9010315784932</v>
      </c>
      <c r="L23" s="269">
        <f>((VLOOKUP($G23,Year2018,6,0)+1.58)*1.0235)-1.74</f>
        <v>27.743263577999816</v>
      </c>
      <c r="M23" s="269"/>
      <c r="N23" s="269"/>
      <c r="O23" s="269"/>
      <c r="P23" s="279" t="str">
        <f t="shared" si="1"/>
        <v>06035C</v>
      </c>
      <c r="Q23" s="279" t="str">
        <f t="shared" si="2"/>
        <v>Lead Pipe Layer I (Paving Const.) Apprentice I (1st 522 hours)</v>
      </c>
      <c r="R23" s="284">
        <f t="shared" si="3"/>
        <v>25.289446170821961</v>
      </c>
      <c r="S23" s="284">
        <f t="shared" si="4"/>
        <v>26.083330608098436</v>
      </c>
      <c r="T23" s="284">
        <f t="shared" si="5"/>
        <v>26.9010315784932</v>
      </c>
      <c r="U23" s="284">
        <f t="shared" si="6"/>
        <v>27.743263577999816</v>
      </c>
      <c r="V23" s="284"/>
      <c r="W23" s="284"/>
      <c r="X23" s="284"/>
      <c r="Y23" s="167"/>
      <c r="AA23" s="219"/>
    </row>
    <row r="24" spans="1:27">
      <c r="A24" s="219" t="s">
        <v>321</v>
      </c>
      <c r="B24" s="219" t="s">
        <v>19</v>
      </c>
      <c r="C24" s="162">
        <v>205</v>
      </c>
      <c r="D24" s="162">
        <v>4</v>
      </c>
      <c r="E24" s="162" t="s">
        <v>17</v>
      </c>
      <c r="F24" s="162" t="s">
        <v>18</v>
      </c>
      <c r="G24" s="162" t="s">
        <v>74</v>
      </c>
      <c r="H24" s="223" t="s">
        <v>326</v>
      </c>
      <c r="I24" s="269">
        <f t="shared" si="7"/>
        <v>25.714124958730331</v>
      </c>
      <c r="J24" s="269">
        <f>((VLOOKUP($G24,Year2018,4,0)+1.58)*1.0235)-1.74</f>
        <v>26.508009396006806</v>
      </c>
      <c r="K24" s="269">
        <f>((VLOOKUP($G24,Year2018,5,0)+1.58)*1.0235)-1.74</f>
        <v>27.325710366401569</v>
      </c>
      <c r="L24" s="269">
        <f>((VLOOKUP($G24,Year2018,6,0)+1.58)*1.0235)-1.74</f>
        <v>28.167942365908178</v>
      </c>
      <c r="M24" s="269"/>
      <c r="N24" s="269"/>
      <c r="O24" s="269"/>
      <c r="P24" s="279" t="str">
        <f t="shared" si="1"/>
        <v>06037C</v>
      </c>
      <c r="Q24" s="279" t="str">
        <f t="shared" si="2"/>
        <v>Lead Pipe Layer I (Paving Const.) Apprentice II (2nd 522 hours)</v>
      </c>
      <c r="R24" s="284">
        <f t="shared" si="3"/>
        <v>25.714124958730331</v>
      </c>
      <c r="S24" s="284">
        <f t="shared" si="4"/>
        <v>26.508009396006806</v>
      </c>
      <c r="T24" s="284">
        <f t="shared" si="5"/>
        <v>27.325710366401569</v>
      </c>
      <c r="U24" s="284">
        <f t="shared" si="6"/>
        <v>28.167942365908178</v>
      </c>
      <c r="V24" s="284"/>
      <c r="W24" s="284"/>
      <c r="X24" s="284"/>
      <c r="Y24" s="167"/>
      <c r="AA24" s="219"/>
    </row>
    <row r="25" spans="1:27">
      <c r="A25" s="219" t="s">
        <v>76</v>
      </c>
      <c r="B25" s="219" t="s">
        <v>76</v>
      </c>
      <c r="C25" s="162">
        <v>205</v>
      </c>
      <c r="D25" s="162">
        <v>4</v>
      </c>
      <c r="E25" s="162" t="s">
        <v>17</v>
      </c>
      <c r="F25" s="162" t="s">
        <v>18</v>
      </c>
      <c r="G25" s="162" t="s">
        <v>77</v>
      </c>
      <c r="H25" s="211" t="s">
        <v>327</v>
      </c>
      <c r="I25" s="269">
        <f t="shared" si="7"/>
        <v>28.133864957103924</v>
      </c>
      <c r="J25" s="269"/>
      <c r="K25" s="269"/>
      <c r="L25" s="269"/>
      <c r="M25" s="269"/>
      <c r="N25" s="269"/>
      <c r="O25" s="269"/>
      <c r="P25" s="279" t="str">
        <f t="shared" si="1"/>
        <v>06050C</v>
      </c>
      <c r="Q25" s="279" t="str">
        <f t="shared" si="2"/>
        <v>Lead Pipe Layer II (Water Const.)</v>
      </c>
      <c r="R25" s="284">
        <f t="shared" si="3"/>
        <v>28.133864957103924</v>
      </c>
      <c r="S25" s="284"/>
      <c r="T25" s="284"/>
      <c r="U25" s="284"/>
      <c r="V25" s="284"/>
      <c r="W25" s="284"/>
      <c r="X25" s="284"/>
      <c r="Y25" s="167"/>
      <c r="Z25" s="294"/>
      <c r="AA25" s="219"/>
    </row>
    <row r="26" spans="1:27">
      <c r="A26" s="219" t="s">
        <v>319</v>
      </c>
      <c r="B26" s="219" t="s">
        <v>19</v>
      </c>
      <c r="C26" s="162">
        <v>205</v>
      </c>
      <c r="D26" s="162">
        <v>4</v>
      </c>
      <c r="E26" s="162" t="s">
        <v>17</v>
      </c>
      <c r="F26" s="162" t="s">
        <v>18</v>
      </c>
      <c r="G26" s="162" t="s">
        <v>80</v>
      </c>
      <c r="H26" s="223" t="s">
        <v>328</v>
      </c>
      <c r="I26" s="269">
        <f t="shared" si="7"/>
        <v>25.289446170821961</v>
      </c>
      <c r="J26" s="269">
        <f>((VLOOKUP($G26,Year2018,4,0)+1.58)*1.0235)-1.74</f>
        <v>26.083330608098436</v>
      </c>
      <c r="K26" s="269">
        <f>((VLOOKUP($G26,Year2018,5,0)+1.58)*1.0235)-1.74</f>
        <v>26.9010315784932</v>
      </c>
      <c r="L26" s="269">
        <f>((VLOOKUP($G26,Year2018,6,0)+1.58)*1.0235)-1.74</f>
        <v>27.743263577999816</v>
      </c>
      <c r="M26" s="269"/>
      <c r="N26" s="269"/>
      <c r="O26" s="269"/>
      <c r="P26" s="279" t="str">
        <f t="shared" si="1"/>
        <v>06056C</v>
      </c>
      <c r="Q26" s="279" t="str">
        <f t="shared" si="2"/>
        <v>Lead Pipe Layer II (Water Const.) Apprentice I (1st 522 hours)</v>
      </c>
      <c r="R26" s="284">
        <f t="shared" si="3"/>
        <v>25.289446170821961</v>
      </c>
      <c r="S26" s="284">
        <f t="shared" si="4"/>
        <v>26.083330608098436</v>
      </c>
      <c r="T26" s="284">
        <f t="shared" si="5"/>
        <v>26.9010315784932</v>
      </c>
      <c r="U26" s="284">
        <f t="shared" si="6"/>
        <v>27.743263577999816</v>
      </c>
      <c r="V26" s="284"/>
      <c r="W26" s="284"/>
      <c r="X26" s="284"/>
      <c r="Y26" s="167"/>
      <c r="AA26" s="219"/>
    </row>
    <row r="27" spans="1:27">
      <c r="A27" s="219" t="s">
        <v>321</v>
      </c>
      <c r="B27" s="219" t="s">
        <v>19</v>
      </c>
      <c r="C27" s="162">
        <v>205</v>
      </c>
      <c r="D27" s="162">
        <v>4</v>
      </c>
      <c r="E27" s="162" t="s">
        <v>17</v>
      </c>
      <c r="F27" s="162" t="s">
        <v>18</v>
      </c>
      <c r="G27" s="162" t="s">
        <v>83</v>
      </c>
      <c r="H27" s="223" t="s">
        <v>329</v>
      </c>
      <c r="I27" s="269">
        <f t="shared" si="7"/>
        <v>25.714124958730331</v>
      </c>
      <c r="J27" s="269">
        <f>((VLOOKUP($G27,Year2018,4,0)+1.58)*1.0235)-1.74</f>
        <v>26.508009396006806</v>
      </c>
      <c r="K27" s="269">
        <f>((VLOOKUP($G27,Year2018,5,0)+1.58)*1.0235)-1.74</f>
        <v>27.325710366401569</v>
      </c>
      <c r="L27" s="269">
        <f>((VLOOKUP($G27,Year2018,6,0)+1.58)*1.0235)-1.74</f>
        <v>28.167942365908178</v>
      </c>
      <c r="M27" s="269"/>
      <c r="N27" s="269"/>
      <c r="O27" s="269"/>
      <c r="P27" s="279" t="str">
        <f t="shared" si="1"/>
        <v>06057C</v>
      </c>
      <c r="Q27" s="279" t="str">
        <f t="shared" si="2"/>
        <v>Lead Pipe Layer II (Water Const.) Apprentice II (2nd 522 hours)</v>
      </c>
      <c r="R27" s="284">
        <f t="shared" si="3"/>
        <v>25.714124958730331</v>
      </c>
      <c r="S27" s="284">
        <f t="shared" si="4"/>
        <v>26.508009396006806</v>
      </c>
      <c r="T27" s="284">
        <f t="shared" si="5"/>
        <v>27.325710366401569</v>
      </c>
      <c r="U27" s="284">
        <f t="shared" si="6"/>
        <v>28.167942365908178</v>
      </c>
      <c r="V27" s="284"/>
      <c r="W27" s="284"/>
      <c r="X27" s="284"/>
      <c r="Y27" s="167"/>
      <c r="AA27" s="219"/>
    </row>
    <row r="28" spans="1:27">
      <c r="A28" s="219" t="s">
        <v>330</v>
      </c>
      <c r="B28" s="219" t="s">
        <v>19</v>
      </c>
      <c r="C28" s="162">
        <v>205</v>
      </c>
      <c r="D28" s="162">
        <v>4</v>
      </c>
      <c r="E28" s="162" t="s">
        <v>17</v>
      </c>
      <c r="F28" s="162" t="s">
        <v>18</v>
      </c>
      <c r="G28" s="162" t="s">
        <v>86</v>
      </c>
      <c r="H28" s="223" t="s">
        <v>331</v>
      </c>
      <c r="I28" s="269">
        <f t="shared" si="7"/>
        <v>25.956798551820821</v>
      </c>
      <c r="J28" s="269">
        <f>((VLOOKUP($G28,Year2018,4,0)+1.58)*1.0235)-1.74</f>
        <v>26.750682989097296</v>
      </c>
      <c r="K28" s="269">
        <f>((VLOOKUP($G28,Year2018,5,0)+1.58)*1.0235)-1.74</f>
        <v>27.56838395949206</v>
      </c>
      <c r="L28" s="269">
        <f>((VLOOKUP($G28,Year2018,6,0)+1.58)*1.0235)-1.74</f>
        <v>28.410615958998676</v>
      </c>
      <c r="M28" s="269"/>
      <c r="N28" s="269"/>
      <c r="O28" s="269"/>
      <c r="P28" s="279" t="str">
        <f t="shared" si="1"/>
        <v>06058C</v>
      </c>
      <c r="Q28" s="279" t="str">
        <f t="shared" si="2"/>
        <v>Lead Pipe Layer II (Water Const.) Apprentice III (3rd 522 hours)</v>
      </c>
      <c r="R28" s="284">
        <f t="shared" si="3"/>
        <v>25.956798551820821</v>
      </c>
      <c r="S28" s="284">
        <f t="shared" si="4"/>
        <v>26.750682989097296</v>
      </c>
      <c r="T28" s="284">
        <f t="shared" si="5"/>
        <v>27.56838395949206</v>
      </c>
      <c r="U28" s="284">
        <f t="shared" si="6"/>
        <v>28.410615958998676</v>
      </c>
      <c r="V28" s="284"/>
      <c r="W28" s="284"/>
      <c r="X28" s="284"/>
      <c r="Y28" s="167"/>
      <c r="AA28" s="219"/>
    </row>
    <row r="29" spans="1:27">
      <c r="A29" s="219" t="s">
        <v>332</v>
      </c>
      <c r="B29" s="219" t="s">
        <v>88</v>
      </c>
      <c r="C29" s="162">
        <v>205</v>
      </c>
      <c r="D29" s="162">
        <v>4</v>
      </c>
      <c r="E29" s="162" t="s">
        <v>17</v>
      </c>
      <c r="F29" s="162" t="s">
        <v>18</v>
      </c>
      <c r="G29" s="162" t="s">
        <v>90</v>
      </c>
      <c r="H29" s="223" t="s">
        <v>333</v>
      </c>
      <c r="I29" s="269">
        <f t="shared" si="7"/>
        <v>29.567288810000001</v>
      </c>
      <c r="J29" s="269"/>
      <c r="K29" s="269"/>
      <c r="L29" s="269"/>
      <c r="M29" s="269"/>
      <c r="N29" s="269"/>
      <c r="O29" s="269"/>
      <c r="P29" s="279" t="str">
        <f t="shared" si="1"/>
        <v>06066C</v>
      </c>
      <c r="Q29" s="279" t="str">
        <f t="shared" si="2"/>
        <v>Lead Pipe Layer III (Sewer Const.)</v>
      </c>
      <c r="R29" s="284">
        <f t="shared" si="3"/>
        <v>29.567288810000001</v>
      </c>
      <c r="S29" s="284"/>
      <c r="T29" s="284"/>
      <c r="U29" s="284"/>
      <c r="V29" s="284"/>
      <c r="W29" s="284"/>
      <c r="X29" s="284"/>
      <c r="Y29" s="167"/>
      <c r="AA29" s="219"/>
    </row>
    <row r="30" spans="1:27">
      <c r="A30" s="219" t="s">
        <v>319</v>
      </c>
      <c r="B30" s="219" t="s">
        <v>19</v>
      </c>
      <c r="C30" s="162">
        <v>205</v>
      </c>
      <c r="D30" s="162">
        <v>4</v>
      </c>
      <c r="E30" s="162" t="s">
        <v>17</v>
      </c>
      <c r="F30" s="162" t="s">
        <v>18</v>
      </c>
      <c r="G30" s="162" t="s">
        <v>93</v>
      </c>
      <c r="H30" s="223" t="s">
        <v>334</v>
      </c>
      <c r="I30" s="269">
        <f t="shared" si="7"/>
        <v>25.289446170821961</v>
      </c>
      <c r="J30" s="269">
        <f>((VLOOKUP($G30,Year2018,4,0)+1.58)*1.0235)-1.74</f>
        <v>26.083330608098436</v>
      </c>
      <c r="K30" s="269">
        <f>((VLOOKUP($G30,Year2018,5,0)+1.58)*1.0235)-1.74</f>
        <v>26.9010315784932</v>
      </c>
      <c r="L30" s="269">
        <f>((VLOOKUP($G30,Year2018,6,0)+1.58)*1.0235)-1.74</f>
        <v>27.743263577999816</v>
      </c>
      <c r="M30" s="269"/>
      <c r="N30" s="269"/>
      <c r="O30" s="269"/>
      <c r="P30" s="279" t="str">
        <f t="shared" si="1"/>
        <v>06067C</v>
      </c>
      <c r="Q30" s="279" t="str">
        <f t="shared" si="2"/>
        <v>Lead Pipe Layer III (Sewer Const.) Apprentice I (1st 522 hours)</v>
      </c>
      <c r="R30" s="284">
        <f t="shared" si="3"/>
        <v>25.289446170821961</v>
      </c>
      <c r="S30" s="284">
        <f t="shared" si="4"/>
        <v>26.083330608098436</v>
      </c>
      <c r="T30" s="284">
        <f t="shared" si="5"/>
        <v>26.9010315784932</v>
      </c>
      <c r="U30" s="284">
        <f t="shared" si="6"/>
        <v>27.743263577999816</v>
      </c>
      <c r="V30" s="284"/>
      <c r="W30" s="284"/>
      <c r="X30" s="284"/>
      <c r="Y30" s="167"/>
      <c r="AA30" s="219"/>
    </row>
    <row r="31" spans="1:27">
      <c r="A31" s="219" t="s">
        <v>321</v>
      </c>
      <c r="B31" s="219" t="s">
        <v>19</v>
      </c>
      <c r="C31" s="162">
        <v>205</v>
      </c>
      <c r="D31" s="162">
        <v>4</v>
      </c>
      <c r="E31" s="162" t="s">
        <v>17</v>
      </c>
      <c r="F31" s="162" t="s">
        <v>18</v>
      </c>
      <c r="G31" s="162" t="s">
        <v>96</v>
      </c>
      <c r="H31" s="223" t="s">
        <v>335</v>
      </c>
      <c r="I31" s="269">
        <f t="shared" si="7"/>
        <v>25.714124958730331</v>
      </c>
      <c r="J31" s="269">
        <f>((VLOOKUP($G31,Year2018,4,0)+1.58)*1.0235)-1.74</f>
        <v>26.508009396006806</v>
      </c>
      <c r="K31" s="269">
        <f>((VLOOKUP($G31,Year2018,5,0)+1.58)*1.0235)-1.74</f>
        <v>27.325710366401569</v>
      </c>
      <c r="L31" s="269">
        <f>((VLOOKUP($G31,Year2018,6,0)+1.58)*1.0235)-1.74</f>
        <v>28.167942365908178</v>
      </c>
      <c r="M31" s="269"/>
      <c r="N31" s="269"/>
      <c r="O31" s="269"/>
      <c r="P31" s="279" t="str">
        <f t="shared" si="1"/>
        <v>06068C</v>
      </c>
      <c r="Q31" s="279" t="str">
        <f t="shared" si="2"/>
        <v>Lead Pipe Layer III (Sewer Const.) Apprentice II (2nd 522 hours)</v>
      </c>
      <c r="R31" s="284">
        <f t="shared" si="3"/>
        <v>25.714124958730331</v>
      </c>
      <c r="S31" s="284">
        <f t="shared" si="4"/>
        <v>26.508009396006806</v>
      </c>
      <c r="T31" s="284">
        <f t="shared" si="5"/>
        <v>27.325710366401569</v>
      </c>
      <c r="U31" s="284">
        <f t="shared" si="6"/>
        <v>28.167942365908178</v>
      </c>
      <c r="V31" s="284"/>
      <c r="W31" s="284"/>
      <c r="X31" s="284"/>
      <c r="Y31" s="167"/>
      <c r="AA31" s="219"/>
    </row>
    <row r="32" spans="1:27">
      <c r="A32" s="219" t="s">
        <v>330</v>
      </c>
      <c r="B32" s="219" t="s">
        <v>19</v>
      </c>
      <c r="C32" s="162">
        <v>205</v>
      </c>
      <c r="D32" s="162">
        <v>4</v>
      </c>
      <c r="E32" s="162" t="s">
        <v>17</v>
      </c>
      <c r="F32" s="162" t="s">
        <v>18</v>
      </c>
      <c r="G32" s="162" t="s">
        <v>99</v>
      </c>
      <c r="H32" s="223" t="s">
        <v>336</v>
      </c>
      <c r="I32" s="269">
        <f t="shared" si="7"/>
        <v>25.956798551820821</v>
      </c>
      <c r="J32" s="269">
        <f>((VLOOKUP($G32,Year2018,4,0)+1.58)*1.0235)-1.74</f>
        <v>26.750682989097296</v>
      </c>
      <c r="K32" s="269">
        <f>((VLOOKUP($G32,Year2018,5,0)+1.58)*1.0235)-1.74</f>
        <v>27.56838395949206</v>
      </c>
      <c r="L32" s="269">
        <f>((VLOOKUP($G32,Year2018,6,0)+1.58)*1.0235)-1.74</f>
        <v>28.410615958998676</v>
      </c>
      <c r="M32" s="269"/>
      <c r="N32" s="269"/>
      <c r="O32" s="269"/>
      <c r="P32" s="279" t="str">
        <f t="shared" si="1"/>
        <v>06069C</v>
      </c>
      <c r="Q32" s="279" t="str">
        <f t="shared" si="2"/>
        <v>Lead Pipe Layer III (Sewer Const.) Apprentice III (3rd 522 hours)</v>
      </c>
      <c r="R32" s="284">
        <f t="shared" si="3"/>
        <v>25.956798551820821</v>
      </c>
      <c r="S32" s="284">
        <f t="shared" si="4"/>
        <v>26.750682989097296</v>
      </c>
      <c r="T32" s="284">
        <f t="shared" si="5"/>
        <v>27.56838395949206</v>
      </c>
      <c r="U32" s="284">
        <f t="shared" si="6"/>
        <v>28.410615958998676</v>
      </c>
      <c r="V32" s="284"/>
      <c r="W32" s="284"/>
      <c r="X32" s="284"/>
      <c r="Y32" s="167"/>
      <c r="AA32" s="219"/>
    </row>
    <row r="33" spans="1:40">
      <c r="A33" s="219" t="s">
        <v>332</v>
      </c>
      <c r="B33" s="219">
        <v>19</v>
      </c>
      <c r="C33" s="162">
        <v>273</v>
      </c>
      <c r="D33" s="162">
        <v>6</v>
      </c>
      <c r="E33" s="162" t="s">
        <v>17</v>
      </c>
      <c r="F33" s="162" t="s">
        <v>18</v>
      </c>
      <c r="G33" s="162" t="s">
        <v>101</v>
      </c>
      <c r="H33" s="211" t="s">
        <v>102</v>
      </c>
      <c r="I33" s="269">
        <f t="shared" si="7"/>
        <v>29.567288810000001</v>
      </c>
      <c r="J33" s="269"/>
      <c r="K33" s="269"/>
      <c r="L33" s="269"/>
      <c r="M33" s="269"/>
      <c r="N33" s="269"/>
      <c r="O33" s="269"/>
      <c r="P33" s="279" t="str">
        <f t="shared" si="1"/>
        <v>06462C</v>
      </c>
      <c r="Q33" s="279" t="str">
        <f t="shared" si="2"/>
        <v>Maintenance Crew Ldr - Bridge</v>
      </c>
      <c r="R33" s="284">
        <f t="shared" si="3"/>
        <v>29.567288810000001</v>
      </c>
      <c r="S33" s="284"/>
      <c r="T33" s="284"/>
      <c r="U33" s="284"/>
      <c r="V33" s="284"/>
      <c r="W33" s="284"/>
      <c r="X33" s="284"/>
      <c r="Y33" s="167"/>
      <c r="AA33" s="219"/>
    </row>
    <row r="34" spans="1:40">
      <c r="A34" s="219" t="s">
        <v>332</v>
      </c>
      <c r="B34" s="219" t="s">
        <v>88</v>
      </c>
      <c r="C34" s="162">
        <v>273</v>
      </c>
      <c r="D34" s="162">
        <v>6</v>
      </c>
      <c r="E34" s="162" t="s">
        <v>17</v>
      </c>
      <c r="F34" s="162" t="s">
        <v>18</v>
      </c>
      <c r="G34" s="162" t="s">
        <v>103</v>
      </c>
      <c r="H34" s="211" t="s">
        <v>104</v>
      </c>
      <c r="I34" s="269">
        <f t="shared" si="7"/>
        <v>29.567288810000001</v>
      </c>
      <c r="J34" s="269"/>
      <c r="K34" s="269"/>
      <c r="L34" s="269"/>
      <c r="M34" s="269"/>
      <c r="N34" s="269"/>
      <c r="O34" s="269"/>
      <c r="P34" s="279" t="str">
        <f t="shared" si="1"/>
        <v>06464C</v>
      </c>
      <c r="Q34" s="279" t="str">
        <f t="shared" si="2"/>
        <v>Maintenance Crew Ldr - Sewer</v>
      </c>
      <c r="R34" s="284">
        <f t="shared" si="3"/>
        <v>29.567288810000001</v>
      </c>
      <c r="S34" s="284"/>
      <c r="T34" s="284"/>
      <c r="U34" s="284"/>
      <c r="V34" s="284"/>
      <c r="W34" s="284"/>
      <c r="X34" s="284"/>
      <c r="Y34" s="167"/>
      <c r="AA34" s="219"/>
    </row>
    <row r="35" spans="1:40">
      <c r="A35" s="219" t="s">
        <v>332</v>
      </c>
      <c r="B35" s="219">
        <v>19</v>
      </c>
      <c r="C35" s="162">
        <v>273</v>
      </c>
      <c r="D35" s="162">
        <v>6</v>
      </c>
      <c r="E35" s="162" t="s">
        <v>17</v>
      </c>
      <c r="F35" s="162" t="s">
        <v>18</v>
      </c>
      <c r="G35" s="162" t="s">
        <v>105</v>
      </c>
      <c r="H35" s="211" t="s">
        <v>106</v>
      </c>
      <c r="I35" s="269">
        <f t="shared" si="7"/>
        <v>29.567288810000001</v>
      </c>
      <c r="J35" s="269"/>
      <c r="K35" s="269"/>
      <c r="L35" s="269"/>
      <c r="M35" s="269"/>
      <c r="N35" s="269"/>
      <c r="O35" s="269"/>
      <c r="P35" s="279" t="str">
        <f t="shared" si="1"/>
        <v>06465C</v>
      </c>
      <c r="Q35" s="279" t="str">
        <f t="shared" si="2"/>
        <v>Maintenance Crew Ldr - Sol Waste</v>
      </c>
      <c r="R35" s="284">
        <f t="shared" si="3"/>
        <v>29.567288810000001</v>
      </c>
      <c r="S35" s="284"/>
      <c r="T35" s="284"/>
      <c r="U35" s="284"/>
      <c r="V35" s="284"/>
      <c r="W35" s="284"/>
      <c r="X35" s="284"/>
      <c r="Y35" s="167"/>
      <c r="AA35" s="219"/>
    </row>
    <row r="36" spans="1:40">
      <c r="A36" s="219" t="s">
        <v>332</v>
      </c>
      <c r="B36" s="219">
        <v>19</v>
      </c>
      <c r="C36" s="162">
        <v>273</v>
      </c>
      <c r="D36" s="162">
        <v>6</v>
      </c>
      <c r="E36" s="162" t="s">
        <v>17</v>
      </c>
      <c r="F36" s="162" t="s">
        <v>18</v>
      </c>
      <c r="G36" s="162" t="s">
        <v>107</v>
      </c>
      <c r="H36" s="211" t="s">
        <v>108</v>
      </c>
      <c r="I36" s="269">
        <f t="shared" si="7"/>
        <v>29.567288810000001</v>
      </c>
      <c r="J36" s="269"/>
      <c r="K36" s="269"/>
      <c r="L36" s="269"/>
      <c r="M36" s="269"/>
      <c r="N36" s="269"/>
      <c r="O36" s="269"/>
      <c r="P36" s="279" t="str">
        <f t="shared" si="1"/>
        <v>06466C</v>
      </c>
      <c r="Q36" s="279" t="str">
        <f t="shared" si="2"/>
        <v>Maintenance Crew Ldr - Streets</v>
      </c>
      <c r="R36" s="284">
        <f t="shared" si="3"/>
        <v>29.567288810000001</v>
      </c>
      <c r="S36" s="284"/>
      <c r="T36" s="284"/>
      <c r="U36" s="284"/>
      <c r="V36" s="284"/>
      <c r="W36" s="284"/>
      <c r="X36" s="284"/>
      <c r="Y36" s="167"/>
      <c r="AA36" s="219"/>
    </row>
    <row r="37" spans="1:40">
      <c r="A37" s="219" t="s">
        <v>332</v>
      </c>
      <c r="B37" s="219">
        <v>19</v>
      </c>
      <c r="C37" s="162">
        <v>273</v>
      </c>
      <c r="D37" s="162">
        <v>6</v>
      </c>
      <c r="E37" s="162" t="s">
        <v>17</v>
      </c>
      <c r="F37" s="162" t="s">
        <v>18</v>
      </c>
      <c r="G37" s="162" t="s">
        <v>109</v>
      </c>
      <c r="H37" s="211" t="s">
        <v>110</v>
      </c>
      <c r="I37" s="269">
        <f t="shared" si="7"/>
        <v>29.567288810000001</v>
      </c>
      <c r="J37" s="269"/>
      <c r="K37" s="269"/>
      <c r="L37" s="269"/>
      <c r="M37" s="269"/>
      <c r="N37" s="269"/>
      <c r="O37" s="269"/>
      <c r="P37" s="279" t="str">
        <f t="shared" si="1"/>
        <v>06468C</v>
      </c>
      <c r="Q37" s="279" t="str">
        <f t="shared" si="2"/>
        <v>Maintenance Crew Ldr - Traffic</v>
      </c>
      <c r="R37" s="284">
        <f t="shared" si="3"/>
        <v>29.567288810000001</v>
      </c>
      <c r="S37" s="284"/>
      <c r="T37" s="284"/>
      <c r="U37" s="284"/>
      <c r="V37" s="284"/>
      <c r="W37" s="284"/>
      <c r="X37" s="284"/>
      <c r="Y37" s="167"/>
      <c r="AA37" s="219"/>
    </row>
    <row r="38" spans="1:40">
      <c r="A38" s="219" t="s">
        <v>111</v>
      </c>
      <c r="B38" s="219" t="s">
        <v>111</v>
      </c>
      <c r="C38" s="162">
        <v>238</v>
      </c>
      <c r="D38" s="162">
        <v>5</v>
      </c>
      <c r="E38" s="162" t="s">
        <v>17</v>
      </c>
      <c r="F38" s="162" t="s">
        <v>18</v>
      </c>
      <c r="G38" s="162" t="s">
        <v>112</v>
      </c>
      <c r="H38" s="211" t="s">
        <v>113</v>
      </c>
      <c r="I38" s="269">
        <f t="shared" si="7"/>
        <v>27.56125838318194</v>
      </c>
      <c r="J38" s="269"/>
      <c r="K38" s="269"/>
      <c r="L38" s="269"/>
      <c r="M38" s="269"/>
      <c r="N38" s="269"/>
      <c r="O38" s="269"/>
      <c r="P38" s="279" t="str">
        <f t="shared" si="1"/>
        <v>07440C</v>
      </c>
      <c r="Q38" s="279" t="str">
        <f t="shared" si="2"/>
        <v>Parking Meter Service Worker</v>
      </c>
      <c r="R38" s="284">
        <f t="shared" si="3"/>
        <v>27.56125838318194</v>
      </c>
      <c r="S38" s="284"/>
      <c r="T38" s="284"/>
      <c r="U38" s="284"/>
      <c r="V38" s="284"/>
      <c r="W38" s="284"/>
      <c r="X38" s="284"/>
      <c r="Y38" s="167"/>
      <c r="AA38" s="219"/>
    </row>
    <row r="39" spans="1:40">
      <c r="A39" s="219" t="s">
        <v>114</v>
      </c>
      <c r="B39" s="219" t="s">
        <v>114</v>
      </c>
      <c r="C39" s="162">
        <v>215</v>
      </c>
      <c r="D39" s="162">
        <v>4</v>
      </c>
      <c r="E39" s="162" t="s">
        <v>17</v>
      </c>
      <c r="F39" s="162" t="s">
        <v>18</v>
      </c>
      <c r="G39" s="162" t="s">
        <v>115</v>
      </c>
      <c r="H39" s="211" t="s">
        <v>116</v>
      </c>
      <c r="I39" s="269">
        <f t="shared" si="7"/>
        <v>25.754188805759235</v>
      </c>
      <c r="J39" s="269"/>
      <c r="K39" s="269"/>
      <c r="L39" s="269"/>
      <c r="M39" s="269"/>
      <c r="N39" s="269"/>
      <c r="O39" s="269"/>
      <c r="P39" s="279" t="str">
        <f t="shared" si="1"/>
        <v>07940C</v>
      </c>
      <c r="Q39" s="279" t="str">
        <f t="shared" si="2"/>
        <v>Plant Service Worker</v>
      </c>
      <c r="R39" s="284">
        <f t="shared" si="3"/>
        <v>25.754188805759235</v>
      </c>
      <c r="S39" s="284"/>
      <c r="T39" s="284"/>
      <c r="U39" s="284"/>
      <c r="V39" s="284"/>
      <c r="W39" s="284"/>
      <c r="X39" s="284"/>
      <c r="Y39" s="167"/>
      <c r="AA39" s="219"/>
    </row>
    <row r="40" spans="1:40">
      <c r="A40" s="219" t="s">
        <v>118</v>
      </c>
      <c r="B40" s="219" t="s">
        <v>117</v>
      </c>
      <c r="C40" s="162">
        <v>335</v>
      </c>
      <c r="D40" s="162">
        <v>7</v>
      </c>
      <c r="E40" s="162" t="s">
        <v>17</v>
      </c>
      <c r="F40" s="162" t="s">
        <v>18</v>
      </c>
      <c r="G40" s="162" t="s">
        <v>119</v>
      </c>
      <c r="H40" s="211" t="s">
        <v>120</v>
      </c>
      <c r="I40" s="269">
        <f t="shared" si="7"/>
        <v>25.929712415476999</v>
      </c>
      <c r="J40" s="269">
        <f>((VLOOKUP($G40,Year2018,4,0)+1.58)*1.0235)-1.74</f>
        <v>27.266328000370773</v>
      </c>
      <c r="K40" s="269">
        <f>((VLOOKUP($G40,Year2018,5,0)+1.58)*1.0235)-1.74</f>
        <v>28.602943585264537</v>
      </c>
      <c r="L40" s="269">
        <f>((VLOOKUP($G40,Year2018,6,0)+1.58)*1.0235)-1.74</f>
        <v>29.93498563522283</v>
      </c>
      <c r="M40" s="269">
        <f>((VLOOKUP($G40,Year2018,7,0)+1.58)*1.0235)-1.74</f>
        <v>31.272744603850473</v>
      </c>
      <c r="N40" s="269">
        <f>((VLOOKUP($G40,Year2018,8,0)+1.58)*1.0235)-1.74</f>
        <v>32.61279033994586</v>
      </c>
      <c r="O40" s="269"/>
      <c r="P40" s="279" t="str">
        <f t="shared" si="1"/>
        <v>02621C</v>
      </c>
      <c r="Q40" s="279" t="str">
        <f t="shared" si="2"/>
        <v>Pubic Works Equipment Dispatcher</v>
      </c>
      <c r="R40" s="284">
        <f t="shared" si="3"/>
        <v>25.929712415476999</v>
      </c>
      <c r="S40" s="284">
        <f t="shared" si="4"/>
        <v>27.266328000370773</v>
      </c>
      <c r="T40" s="284">
        <f t="shared" si="5"/>
        <v>28.602943585264537</v>
      </c>
      <c r="U40" s="284">
        <f t="shared" si="6"/>
        <v>29.93498563522283</v>
      </c>
      <c r="V40" s="284">
        <f t="shared" ref="V40:V41" si="10">M40</f>
        <v>31.272744603850473</v>
      </c>
      <c r="W40" s="284">
        <f t="shared" ref="W40:W41" si="11">N40</f>
        <v>32.61279033994586</v>
      </c>
      <c r="X40" s="284">
        <f t="shared" ref="X40:X41" si="12">O40</f>
        <v>0</v>
      </c>
      <c r="Y40" s="167"/>
      <c r="AA40" s="219"/>
    </row>
    <row r="41" spans="1:40">
      <c r="A41" s="219" t="s">
        <v>19</v>
      </c>
      <c r="B41" s="219" t="s">
        <v>19</v>
      </c>
      <c r="C41" s="162">
        <v>230</v>
      </c>
      <c r="D41" s="162">
        <v>5</v>
      </c>
      <c r="E41" s="162" t="s">
        <v>17</v>
      </c>
      <c r="F41" s="162" t="s">
        <v>18</v>
      </c>
      <c r="G41" s="162" t="s">
        <v>121</v>
      </c>
      <c r="H41" s="223" t="s">
        <v>122</v>
      </c>
      <c r="I41" s="269">
        <f t="shared" si="7"/>
        <v>25.107440976004089</v>
      </c>
      <c r="J41" s="269">
        <f>((VLOOKUP($G41,Year2018,4,0)+1.58)*1.0235)-1.74</f>
        <v>25.901325413280563</v>
      </c>
      <c r="K41" s="269">
        <f>((VLOOKUP($G41,Year2018,5,0)+1.58)*1.0235)-1.74</f>
        <v>26.719026383675327</v>
      </c>
      <c r="L41" s="269">
        <f>((VLOOKUP($G41,Year2018,6,0)+1.58)*1.0235)-1.74</f>
        <v>27.56125838318194</v>
      </c>
      <c r="M41" s="269"/>
      <c r="N41" s="269"/>
      <c r="O41" s="269"/>
      <c r="P41" s="279" t="str">
        <f t="shared" si="1"/>
        <v>08568C</v>
      </c>
      <c r="Q41" s="279" t="str">
        <f t="shared" si="2"/>
        <v xml:space="preserve">Public Works Service Worker I </v>
      </c>
      <c r="R41" s="284">
        <f t="shared" si="3"/>
        <v>25.107440976004089</v>
      </c>
      <c r="S41" s="284">
        <f t="shared" si="4"/>
        <v>25.901325413280563</v>
      </c>
      <c r="T41" s="284">
        <f t="shared" si="5"/>
        <v>26.719026383675327</v>
      </c>
      <c r="U41" s="284">
        <f t="shared" si="6"/>
        <v>27.56125838318194</v>
      </c>
      <c r="V41" s="284">
        <f t="shared" si="10"/>
        <v>0</v>
      </c>
      <c r="W41" s="284">
        <f t="shared" si="11"/>
        <v>0</v>
      </c>
      <c r="X41" s="284">
        <f t="shared" si="12"/>
        <v>0</v>
      </c>
      <c r="Y41" s="167"/>
      <c r="AA41" s="219"/>
    </row>
    <row r="42" spans="1:40">
      <c r="A42" s="219" t="s">
        <v>123</v>
      </c>
      <c r="B42" s="219">
        <v>12</v>
      </c>
      <c r="C42" s="162">
        <v>215</v>
      </c>
      <c r="D42" s="162">
        <v>4</v>
      </c>
      <c r="E42" s="162" t="s">
        <v>17</v>
      </c>
      <c r="F42" s="162" t="s">
        <v>18</v>
      </c>
      <c r="G42" s="162" t="s">
        <v>112</v>
      </c>
      <c r="H42" s="211" t="s">
        <v>113</v>
      </c>
      <c r="I42" s="269">
        <f t="shared" si="7"/>
        <v>27.56125838318194</v>
      </c>
      <c r="J42" s="269"/>
      <c r="K42" s="269"/>
      <c r="L42" s="269"/>
      <c r="M42" s="269"/>
      <c r="N42" s="269"/>
      <c r="O42" s="269"/>
      <c r="P42" s="279" t="str">
        <f t="shared" si="1"/>
        <v>07440C</v>
      </c>
      <c r="Q42" s="279" t="str">
        <f t="shared" si="2"/>
        <v>Parking Meter Service Worker</v>
      </c>
      <c r="R42" s="284">
        <f t="shared" si="3"/>
        <v>27.56125838318194</v>
      </c>
      <c r="S42" s="284"/>
      <c r="T42" s="284"/>
      <c r="U42" s="284"/>
      <c r="V42" s="284"/>
      <c r="W42" s="284"/>
      <c r="X42" s="284"/>
      <c r="Y42" s="167"/>
      <c r="AA42" s="219"/>
    </row>
    <row r="43" spans="1:40">
      <c r="A43" s="219" t="s">
        <v>124</v>
      </c>
      <c r="B43" s="219" t="s">
        <v>124</v>
      </c>
      <c r="C43" s="162">
        <v>230</v>
      </c>
      <c r="D43" s="162">
        <v>5</v>
      </c>
      <c r="E43" s="162" t="s">
        <v>17</v>
      </c>
      <c r="F43" s="162" t="s">
        <v>18</v>
      </c>
      <c r="G43" s="162" t="s">
        <v>126</v>
      </c>
      <c r="H43" s="223" t="s">
        <v>127</v>
      </c>
      <c r="I43" s="270" t="s">
        <v>380</v>
      </c>
      <c r="J43" s="271"/>
      <c r="K43" s="270" t="s">
        <v>381</v>
      </c>
      <c r="L43" s="295"/>
      <c r="M43" s="276"/>
      <c r="N43" s="276"/>
      <c r="O43" s="269"/>
      <c r="P43" s="279" t="str">
        <f t="shared" si="1"/>
        <v>08564C</v>
      </c>
      <c r="Q43" s="279" t="str">
        <f t="shared" si="2"/>
        <v xml:space="preserve">Public Works Service Worker I - Trainee </v>
      </c>
      <c r="R43" s="284">
        <f>16.038*1.0235</f>
        <v>16.414893000000003</v>
      </c>
      <c r="S43" s="284">
        <f>17.182*1.0235</f>
        <v>17.585777</v>
      </c>
      <c r="W43" s="293"/>
      <c r="X43" s="292"/>
      <c r="Y43" s="167"/>
    </row>
    <row r="44" spans="1:40">
      <c r="A44" s="219" t="s">
        <v>130</v>
      </c>
      <c r="B44" s="219" t="s">
        <v>130</v>
      </c>
      <c r="C44" s="162">
        <v>318</v>
      </c>
      <c r="D44" s="162">
        <v>7</v>
      </c>
      <c r="E44" s="162" t="s">
        <v>17</v>
      </c>
      <c r="F44" s="162" t="s">
        <v>18</v>
      </c>
      <c r="G44" s="229" t="s">
        <v>131</v>
      </c>
      <c r="H44" s="223" t="s">
        <v>382</v>
      </c>
      <c r="I44" s="269">
        <f t="shared" ref="I44:I49" si="13">((VLOOKUP($G44,Year2018,3,0)+1.58)*1.0235)-1.74</f>
        <v>32.762185000000002</v>
      </c>
      <c r="J44" s="269">
        <f>((VLOOKUP($G44,Year2018,4,0)+1.58)*1.0235)-1.74</f>
        <v>33.652630000000002</v>
      </c>
      <c r="K44" s="269">
        <f>((VLOOKUP($G44,Year2018,5,0)+1.58)*1.0235)-1.74</f>
        <v>34.71707</v>
      </c>
      <c r="L44" s="269"/>
      <c r="M44" s="269"/>
      <c r="N44" s="269"/>
      <c r="O44" s="269"/>
      <c r="P44" s="279" t="str">
        <f t="shared" si="1"/>
        <v>09194C</v>
      </c>
      <c r="Q44" s="279" t="str">
        <f t="shared" si="2"/>
        <v xml:space="preserve">Senior Water Treatment Operator </v>
      </c>
      <c r="R44" s="284">
        <f t="shared" ref="R44:R53" si="14">I44</f>
        <v>32.762185000000002</v>
      </c>
      <c r="S44" s="284">
        <f t="shared" ref="S44:S53" si="15">J44</f>
        <v>33.652630000000002</v>
      </c>
      <c r="T44" s="284">
        <f t="shared" ref="T44:T53" si="16">K44</f>
        <v>34.71707</v>
      </c>
      <c r="U44" s="284"/>
      <c r="V44" s="284"/>
      <c r="W44" s="284"/>
      <c r="X44" s="284"/>
      <c r="Y44" s="167"/>
      <c r="AA44" s="219"/>
    </row>
    <row r="45" spans="1:40">
      <c r="A45" s="219" t="s">
        <v>133</v>
      </c>
      <c r="B45" s="219" t="s">
        <v>133</v>
      </c>
      <c r="C45" s="162">
        <v>310</v>
      </c>
      <c r="D45" s="162">
        <v>6</v>
      </c>
      <c r="E45" s="162" t="s">
        <v>17</v>
      </c>
      <c r="F45" s="162" t="s">
        <v>18</v>
      </c>
      <c r="G45" s="162" t="s">
        <v>134</v>
      </c>
      <c r="H45" s="211" t="s">
        <v>135</v>
      </c>
      <c r="I45" s="269">
        <f t="shared" si="13"/>
        <v>25.844432852788962</v>
      </c>
      <c r="J45" s="269">
        <f>((VLOOKUP($G45,Year2018,4,0)+1.58)*1.0235)-1.74</f>
        <v>27.120383406625894</v>
      </c>
      <c r="K45" s="269">
        <f>((VLOOKUP($G45,Year2018,5,0)+1.58)*1.0235)-1.74</f>
        <v>28.376279727789555</v>
      </c>
      <c r="L45" s="269">
        <f>((VLOOKUP($G45,Year2018,6,0)+1.58)*1.0235)-1.74</f>
        <v>29.724926875067105</v>
      </c>
      <c r="M45" s="269"/>
      <c r="N45" s="269"/>
      <c r="O45" s="269"/>
      <c r="P45" s="279" t="str">
        <f t="shared" si="1"/>
        <v>09184C</v>
      </c>
      <c r="Q45" s="279" t="str">
        <f t="shared" si="2"/>
        <v>Sewer Pumping Station Operator</v>
      </c>
      <c r="R45" s="284">
        <f t="shared" si="14"/>
        <v>25.844432852788962</v>
      </c>
      <c r="S45" s="284">
        <f t="shared" si="15"/>
        <v>27.120383406625894</v>
      </c>
      <c r="T45" s="284">
        <f t="shared" si="16"/>
        <v>28.376279727789555</v>
      </c>
      <c r="U45" s="284">
        <f t="shared" ref="U45:U53" si="17">L45</f>
        <v>29.724926875067105</v>
      </c>
      <c r="V45" s="284"/>
      <c r="W45" s="284"/>
      <c r="X45" s="284"/>
      <c r="Y45" s="167"/>
      <c r="AA45" s="219"/>
    </row>
    <row r="46" spans="1:40">
      <c r="A46" s="219" t="s">
        <v>111</v>
      </c>
      <c r="B46" s="219">
        <v>16</v>
      </c>
      <c r="C46" s="162">
        <v>258</v>
      </c>
      <c r="D46" s="162">
        <v>5</v>
      </c>
      <c r="E46" s="162" t="s">
        <v>17</v>
      </c>
      <c r="F46" s="162" t="s">
        <v>18</v>
      </c>
      <c r="G46" s="162" t="s">
        <v>136</v>
      </c>
      <c r="H46" s="211" t="s">
        <v>137</v>
      </c>
      <c r="I46" s="269">
        <f t="shared" si="13"/>
        <v>27.56125838318194</v>
      </c>
      <c r="J46" s="269"/>
      <c r="K46" s="269"/>
      <c r="L46" s="269"/>
      <c r="M46" s="269"/>
      <c r="N46" s="269"/>
      <c r="O46" s="269"/>
      <c r="P46" s="279" t="str">
        <f t="shared" si="1"/>
        <v>09220C</v>
      </c>
      <c r="Q46" s="279" t="str">
        <f t="shared" si="2"/>
        <v>Shop Repair Worker I</v>
      </c>
      <c r="R46" s="284">
        <f t="shared" si="14"/>
        <v>27.56125838318194</v>
      </c>
      <c r="S46" s="284"/>
      <c r="T46" s="284"/>
      <c r="U46" s="284"/>
      <c r="V46" s="284"/>
      <c r="W46" s="284"/>
      <c r="X46" s="284"/>
      <c r="Y46" s="167"/>
      <c r="AA46" s="219"/>
    </row>
    <row r="47" spans="1:40">
      <c r="A47" s="219" t="s">
        <v>308</v>
      </c>
      <c r="B47" s="219">
        <v>17</v>
      </c>
      <c r="C47" s="162">
        <v>295</v>
      </c>
      <c r="D47" s="162">
        <v>6</v>
      </c>
      <c r="E47" s="162" t="s">
        <v>17</v>
      </c>
      <c r="F47" s="162" t="s">
        <v>18</v>
      </c>
      <c r="G47" s="162" t="s">
        <v>138</v>
      </c>
      <c r="H47" s="211" t="s">
        <v>139</v>
      </c>
      <c r="I47" s="269">
        <f t="shared" si="13"/>
        <v>29.239865122282328</v>
      </c>
      <c r="J47" s="269">
        <f>((VLOOKUP($G47,Year2018,4,0)+1.58)*1.0235)-1.74</f>
        <v>30.00317935340874</v>
      </c>
      <c r="K47" s="269">
        <f>((VLOOKUP($G47,Year2018,5,0)+1.58)*1.0235)-1.74</f>
        <v>30.763986805451008</v>
      </c>
      <c r="L47" s="269"/>
      <c r="M47" s="269"/>
      <c r="N47" s="269"/>
      <c r="O47" s="269"/>
      <c r="P47" s="279" t="str">
        <f t="shared" si="1"/>
        <v>09230C</v>
      </c>
      <c r="Q47" s="279" t="str">
        <f t="shared" si="2"/>
        <v>Shop Repair Worker II</v>
      </c>
      <c r="R47" s="284">
        <f t="shared" si="14"/>
        <v>29.239865122282328</v>
      </c>
      <c r="S47" s="284">
        <f t="shared" si="15"/>
        <v>30.00317935340874</v>
      </c>
      <c r="T47" s="284">
        <f t="shared" si="16"/>
        <v>30.763986805451008</v>
      </c>
      <c r="U47" s="284"/>
      <c r="V47" s="284"/>
      <c r="W47" s="284"/>
      <c r="X47" s="284"/>
      <c r="Y47" s="167"/>
      <c r="AA47" s="219"/>
      <c r="AC47" s="230"/>
    </row>
    <row r="48" spans="1:40">
      <c r="A48" s="219">
        <v>8</v>
      </c>
      <c r="B48" s="219">
        <v>8</v>
      </c>
      <c r="C48" s="162">
        <v>260</v>
      </c>
      <c r="D48" s="162">
        <v>5</v>
      </c>
      <c r="E48" s="162" t="s">
        <v>17</v>
      </c>
      <c r="F48" s="162" t="s">
        <v>18</v>
      </c>
      <c r="G48" s="162" t="s">
        <v>140</v>
      </c>
      <c r="H48" s="211" t="s">
        <v>141</v>
      </c>
      <c r="I48" s="269">
        <f t="shared" si="13"/>
        <v>19.571218194681048</v>
      </c>
      <c r="J48" s="269">
        <f>((VLOOKUP($G48,Year2018,4,0)+1.58)*1.0235)-1.74</f>
        <v>20.768205207366982</v>
      </c>
      <c r="K48" s="269">
        <f>((VLOOKUP($G48,Year2018,5,0)+1.58)*1.0235)-1.74</f>
        <v>22.83379117271399</v>
      </c>
      <c r="L48" s="269">
        <f>((VLOOKUP($G48,Year2018,6,0)+1.58)*1.0235)-1.74</f>
        <v>23.726204526674589</v>
      </c>
      <c r="M48" s="269">
        <f>((VLOOKUP($G48,Year2018,7,0)+1.58)*1.0235)-1.74</f>
        <v>25.523565130016603</v>
      </c>
      <c r="N48" s="269">
        <f>((VLOOKUP($G48,Year2018,8,0)+1.58)*1.0235)-1.74</f>
        <v>26.595213188494579</v>
      </c>
      <c r="O48" s="269">
        <f>((VLOOKUP($G48,Year2018,9,0)+1.58)*1.0235)-1.74</f>
        <v>27.56125838318194</v>
      </c>
      <c r="P48" s="279" t="str">
        <f t="shared" si="1"/>
        <v>09400C</v>
      </c>
      <c r="Q48" s="279" t="str">
        <f t="shared" si="2"/>
        <v>Stock Worker</v>
      </c>
      <c r="R48" s="284">
        <f t="shared" si="14"/>
        <v>19.571218194681048</v>
      </c>
      <c r="S48" s="284">
        <f t="shared" si="15"/>
        <v>20.768205207366982</v>
      </c>
      <c r="T48" s="284">
        <f t="shared" si="16"/>
        <v>22.83379117271399</v>
      </c>
      <c r="U48" s="284">
        <f t="shared" si="17"/>
        <v>23.726204526674589</v>
      </c>
      <c r="V48" s="284">
        <f t="shared" ref="V48:V49" si="18">M48</f>
        <v>25.523565130016603</v>
      </c>
      <c r="W48" s="284">
        <f t="shared" ref="W48:W49" si="19">N48</f>
        <v>26.595213188494579</v>
      </c>
      <c r="X48" s="284">
        <f t="shared" ref="X48" si="20">O48</f>
        <v>27.56125838318194</v>
      </c>
      <c r="Y48" s="167"/>
      <c r="AA48" s="219"/>
      <c r="AD48" s="230"/>
      <c r="AE48" s="230"/>
      <c r="AF48" s="230"/>
      <c r="AG48" s="230"/>
      <c r="AH48" s="230"/>
      <c r="AI48" s="230"/>
      <c r="AJ48" s="230"/>
      <c r="AK48" s="230"/>
      <c r="AL48" s="230"/>
      <c r="AM48" s="230"/>
      <c r="AN48" s="230"/>
    </row>
    <row r="49" spans="1:27">
      <c r="A49" s="219" t="s">
        <v>118</v>
      </c>
      <c r="B49" s="219" t="s">
        <v>117</v>
      </c>
      <c r="C49" s="162">
        <v>333</v>
      </c>
      <c r="D49" s="162">
        <v>7</v>
      </c>
      <c r="E49" s="162" t="s">
        <v>17</v>
      </c>
      <c r="F49" s="162" t="s">
        <v>18</v>
      </c>
      <c r="G49" s="162" t="s">
        <v>142</v>
      </c>
      <c r="H49" s="211" t="s">
        <v>143</v>
      </c>
      <c r="I49" s="269">
        <f t="shared" si="13"/>
        <v>25.929712415476999</v>
      </c>
      <c r="J49" s="269">
        <f>((VLOOKUP($G49,Year2018,4,0)+1.58)*1.0235)-1.74</f>
        <v>27.266328000370773</v>
      </c>
      <c r="K49" s="269">
        <f>((VLOOKUP($G49,Year2018,5,0)+1.58)*1.0235)-1.74</f>
        <v>28.602943585264537</v>
      </c>
      <c r="L49" s="269">
        <f>((VLOOKUP($G49,Year2018,6,0)+1.58)*1.0235)-1.74</f>
        <v>29.93498563522283</v>
      </c>
      <c r="M49" s="269">
        <f>((VLOOKUP($G49,Year2018,7,0)+1.58)*1.0235)-1.74</f>
        <v>31.272744603850473</v>
      </c>
      <c r="N49" s="269">
        <f>((VLOOKUP($G49,Year2018,8,0)+1.58)*1.0235)-1.74</f>
        <v>32.61279033994586</v>
      </c>
      <c r="O49" s="269"/>
      <c r="P49" s="279" t="str">
        <f t="shared" si="1"/>
        <v>09284C</v>
      </c>
      <c r="Q49" s="279" t="str">
        <f t="shared" si="2"/>
        <v xml:space="preserve">Stores Center Coordinator   </v>
      </c>
      <c r="R49" s="284">
        <f t="shared" si="14"/>
        <v>25.929712415476999</v>
      </c>
      <c r="S49" s="284">
        <f t="shared" si="15"/>
        <v>27.266328000370773</v>
      </c>
      <c r="T49" s="284">
        <f t="shared" si="16"/>
        <v>28.602943585264537</v>
      </c>
      <c r="U49" s="284">
        <f t="shared" si="17"/>
        <v>29.93498563522283</v>
      </c>
      <c r="V49" s="284">
        <f t="shared" si="18"/>
        <v>31.272744603850473</v>
      </c>
      <c r="W49" s="284">
        <f t="shared" si="19"/>
        <v>32.61279033994586</v>
      </c>
      <c r="X49" s="284"/>
      <c r="Y49" s="167"/>
      <c r="AA49" s="219"/>
    </row>
    <row r="50" spans="1:27">
      <c r="A50" s="219" t="s">
        <v>383</v>
      </c>
      <c r="B50" s="219"/>
      <c r="C50" s="162"/>
      <c r="D50" s="162"/>
      <c r="E50" s="162" t="s">
        <v>17</v>
      </c>
      <c r="F50" s="162" t="s">
        <v>18</v>
      </c>
      <c r="G50" s="162" t="s">
        <v>384</v>
      </c>
      <c r="H50" s="211" t="s">
        <v>385</v>
      </c>
      <c r="I50" s="269">
        <v>33.579579000000003</v>
      </c>
      <c r="J50" s="269"/>
      <c r="K50" s="269"/>
      <c r="L50" s="269"/>
      <c r="M50" s="269"/>
      <c r="N50" s="269"/>
      <c r="O50" s="269"/>
      <c r="P50" s="279" t="str">
        <f t="shared" si="1"/>
        <v>52931C</v>
      </c>
      <c r="Q50" s="279" t="str">
        <f t="shared" si="2"/>
        <v>Union Leader (Service Area Crew Leader)</v>
      </c>
      <c r="R50" s="284">
        <f t="shared" si="14"/>
        <v>33.579579000000003</v>
      </c>
      <c r="S50" s="284"/>
      <c r="T50" s="284"/>
      <c r="U50" s="284"/>
      <c r="V50" s="284"/>
      <c r="W50" s="284"/>
      <c r="X50" s="284"/>
      <c r="Y50" s="167"/>
      <c r="AA50" s="219"/>
    </row>
    <row r="51" spans="1:27">
      <c r="A51" s="219">
        <v>22</v>
      </c>
      <c r="B51" s="219">
        <v>22</v>
      </c>
      <c r="C51" s="162">
        <v>265</v>
      </c>
      <c r="D51" s="162">
        <v>5</v>
      </c>
      <c r="E51" s="162" t="s">
        <v>17</v>
      </c>
      <c r="F51" s="162" t="s">
        <v>18</v>
      </c>
      <c r="G51" s="162" t="s">
        <v>144</v>
      </c>
      <c r="H51" s="211" t="s">
        <v>145</v>
      </c>
      <c r="I51" s="269">
        <f>((VLOOKUP($G51,Year2018,3,0)+1.58)*1.0235)-1.74</f>
        <v>29.609805000000005</v>
      </c>
      <c r="J51" s="269">
        <f>((VLOOKUP($G51,Year2018,4,0)+1.58)*1.0235)-1.74</f>
        <v>30.203435000000006</v>
      </c>
      <c r="K51" s="269">
        <f>((VLOOKUP($G51,Year2018,5,0)+1.58)*1.0235)-1.74</f>
        <v>30.797065</v>
      </c>
      <c r="L51" s="269">
        <f>((VLOOKUP($G51,Year2018,6,0)+1.58)*1.0235)-1.74</f>
        <v>31.390695000000004</v>
      </c>
      <c r="M51" s="269"/>
      <c r="N51" s="269"/>
      <c r="O51" s="269"/>
      <c r="P51" s="279" t="str">
        <f t="shared" si="1"/>
        <v>10908C</v>
      </c>
      <c r="Q51" s="279" t="str">
        <f t="shared" si="2"/>
        <v>Water Treatment Operator* (see below for Step)</v>
      </c>
      <c r="R51" s="284">
        <f t="shared" si="14"/>
        <v>29.609805000000005</v>
      </c>
      <c r="S51" s="284">
        <f t="shared" si="15"/>
        <v>30.203435000000006</v>
      </c>
      <c r="T51" s="284">
        <f t="shared" si="16"/>
        <v>30.797065</v>
      </c>
      <c r="U51" s="284">
        <f t="shared" si="17"/>
        <v>31.390695000000004</v>
      </c>
      <c r="V51" s="284"/>
      <c r="W51" s="284"/>
      <c r="X51" s="284"/>
      <c r="Y51" s="167"/>
      <c r="AA51" s="219"/>
    </row>
    <row r="52" spans="1:27">
      <c r="A52" s="219" t="s">
        <v>65</v>
      </c>
      <c r="B52" s="219" t="s">
        <v>65</v>
      </c>
      <c r="C52" s="162">
        <v>253</v>
      </c>
      <c r="D52" s="162">
        <v>5</v>
      </c>
      <c r="E52" s="162" t="s">
        <v>17</v>
      </c>
      <c r="F52" s="162" t="s">
        <v>18</v>
      </c>
      <c r="G52" s="162" t="s">
        <v>146</v>
      </c>
      <c r="H52" s="211" t="s">
        <v>147</v>
      </c>
      <c r="I52" s="269">
        <f>((VLOOKUP($G52,Year2018,3,0)+1.58)*1.0235)-1.74</f>
        <v>24.518346717268852</v>
      </c>
      <c r="J52" s="269">
        <f>((VLOOKUP($G52,Year2018,4,0)+1.58)*1.0235)-1.74</f>
        <v>25.345583815041316</v>
      </c>
      <c r="K52" s="269">
        <f>((VLOOKUP($G52,Year2018,5,0)+1.58)*1.0235)-1.74</f>
        <v>26.20164887228162</v>
      </c>
      <c r="L52" s="269">
        <f>((VLOOKUP($G52,Year2018,6,0)+1.58)*1.0235)-1.74</f>
        <v>27.257002866712558</v>
      </c>
      <c r="M52" s="269"/>
      <c r="N52" s="269"/>
      <c r="O52" s="269"/>
      <c r="P52" s="279" t="str">
        <f t="shared" si="1"/>
        <v>11030C</v>
      </c>
      <c r="Q52" s="279" t="str">
        <f t="shared" si="2"/>
        <v>Yard Coordinator I</v>
      </c>
      <c r="R52" s="284">
        <f t="shared" si="14"/>
        <v>24.518346717268852</v>
      </c>
      <c r="S52" s="284">
        <f t="shared" si="15"/>
        <v>25.345583815041316</v>
      </c>
      <c r="T52" s="284">
        <f t="shared" si="16"/>
        <v>26.20164887228162</v>
      </c>
      <c r="U52" s="284">
        <f t="shared" si="17"/>
        <v>27.257002866712558</v>
      </c>
      <c r="V52" s="284"/>
      <c r="W52" s="284"/>
      <c r="X52" s="284"/>
      <c r="Y52" s="167"/>
      <c r="AA52" s="219"/>
    </row>
    <row r="53" spans="1:27">
      <c r="A53" s="219">
        <v>13</v>
      </c>
      <c r="B53" s="219">
        <v>13</v>
      </c>
      <c r="C53" s="162">
        <v>275</v>
      </c>
      <c r="D53" s="162">
        <v>6</v>
      </c>
      <c r="E53" s="162" t="s">
        <v>17</v>
      </c>
      <c r="F53" s="162" t="s">
        <v>18</v>
      </c>
      <c r="G53" s="162" t="s">
        <v>148</v>
      </c>
      <c r="H53" s="211" t="s">
        <v>149</v>
      </c>
      <c r="I53" s="269">
        <f>((VLOOKUP($G53,Year2018,3,0)+1.58)*1.0235)-1.74</f>
        <v>25.844432852788962</v>
      </c>
      <c r="J53" s="269">
        <f>((VLOOKUP($G53,Year2018,4,0)+1.58)*1.0235)-1.74</f>
        <v>27.120383406625894</v>
      </c>
      <c r="K53" s="269">
        <f>((VLOOKUP($G53,Year2018,5,0)+1.58)*1.0235)-1.74</f>
        <v>28.376279727789555</v>
      </c>
      <c r="L53" s="269">
        <f>((VLOOKUP($G53,Year2018,6,0)+1.58)*1.0235)-1.74</f>
        <v>29.724926875067105</v>
      </c>
      <c r="M53" s="269"/>
      <c r="N53" s="269"/>
      <c r="O53" s="269"/>
      <c r="P53" s="279" t="str">
        <f t="shared" si="1"/>
        <v>11040C</v>
      </c>
      <c r="Q53" s="279" t="str">
        <f t="shared" si="2"/>
        <v>Yard Coordinator II</v>
      </c>
      <c r="R53" s="284">
        <f t="shared" si="14"/>
        <v>25.844432852788962</v>
      </c>
      <c r="S53" s="284">
        <f t="shared" si="15"/>
        <v>27.120383406625894</v>
      </c>
      <c r="T53" s="284">
        <f t="shared" si="16"/>
        <v>28.376279727789555</v>
      </c>
      <c r="U53" s="284">
        <f t="shared" si="17"/>
        <v>29.724926875067105</v>
      </c>
      <c r="V53" s="284"/>
      <c r="W53" s="284"/>
      <c r="X53" s="284"/>
      <c r="Y53" s="167"/>
      <c r="AA53" s="219"/>
    </row>
    <row r="54" spans="1:27">
      <c r="A54" s="219"/>
      <c r="B54" s="219"/>
      <c r="D54" s="162"/>
      <c r="E54" s="296" t="s">
        <v>386</v>
      </c>
      <c r="F54" s="167"/>
      <c r="G54" s="219"/>
      <c r="I54" s="218"/>
      <c r="J54" s="220"/>
      <c r="K54" s="220"/>
      <c r="L54" s="220"/>
    </row>
    <row r="55" spans="1:27">
      <c r="E55" s="232" t="s">
        <v>387</v>
      </c>
      <c r="F55" s="165"/>
      <c r="I55" s="233"/>
      <c r="J55" s="162"/>
      <c r="K55" s="162"/>
      <c r="L55" s="162"/>
      <c r="M55" s="162"/>
      <c r="N55" s="162"/>
      <c r="P55" s="292"/>
      <c r="Q55" s="292"/>
      <c r="R55" s="284"/>
      <c r="S55" s="292"/>
    </row>
    <row r="56" spans="1:27" ht="13.5" customHeight="1">
      <c r="E56" s="165"/>
      <c r="F56" s="165"/>
      <c r="I56" s="233"/>
      <c r="J56" s="162"/>
      <c r="K56" s="162"/>
      <c r="L56" s="162"/>
      <c r="M56" s="162"/>
      <c r="N56" s="162"/>
    </row>
    <row r="57" spans="1:27" ht="60.75" hidden="1" customHeight="1">
      <c r="A57" s="268"/>
      <c r="B57" s="268"/>
      <c r="E57" s="268"/>
      <c r="F57" s="268"/>
      <c r="G57" s="268"/>
      <c r="H57" s="268"/>
      <c r="I57" s="268"/>
      <c r="J57" s="268"/>
      <c r="K57" s="268"/>
      <c r="L57" s="268"/>
      <c r="M57" s="268"/>
      <c r="N57" s="268"/>
      <c r="O57" s="268"/>
      <c r="P57" s="285"/>
      <c r="Q57" s="285"/>
      <c r="R57" s="285"/>
      <c r="S57" s="285"/>
      <c r="T57" s="285"/>
      <c r="U57" s="285"/>
      <c r="V57" s="285"/>
    </row>
    <row r="58" spans="1:27" ht="26.25" hidden="1" customHeight="1">
      <c r="A58" s="650"/>
      <c r="B58" s="650"/>
      <c r="E58" s="650"/>
      <c r="F58" s="650"/>
      <c r="G58" s="650"/>
      <c r="H58" s="650"/>
      <c r="I58" s="650"/>
      <c r="J58" s="650"/>
      <c r="K58" s="650"/>
      <c r="L58" s="650"/>
      <c r="M58" s="650"/>
      <c r="N58" s="650"/>
      <c r="O58" s="650"/>
      <c r="P58" s="285"/>
      <c r="Q58" s="285"/>
      <c r="R58" s="285"/>
      <c r="S58" s="285"/>
      <c r="T58" s="285"/>
      <c r="U58" s="285"/>
      <c r="V58" s="285"/>
    </row>
    <row r="59" spans="1:27" ht="15.75" customHeight="1">
      <c r="E59" s="234" t="s">
        <v>344</v>
      </c>
      <c r="F59" s="234"/>
      <c r="I59" s="233"/>
      <c r="J59" s="162"/>
      <c r="K59" s="162"/>
      <c r="L59" s="162"/>
      <c r="M59" s="162"/>
      <c r="N59" s="162"/>
      <c r="Y59" s="167"/>
    </row>
    <row r="60" spans="1:27" ht="15.75" customHeight="1">
      <c r="E60" s="234"/>
      <c r="F60" s="234"/>
      <c r="G60" s="162" t="s">
        <v>154</v>
      </c>
      <c r="H60" s="211" t="s">
        <v>155</v>
      </c>
      <c r="I60" s="233"/>
      <c r="J60" s="162"/>
      <c r="K60" s="162"/>
      <c r="L60" s="162"/>
      <c r="M60" s="162"/>
      <c r="N60" s="162"/>
      <c r="Y60" s="167"/>
    </row>
    <row r="61" spans="1:27" ht="15.75" customHeight="1">
      <c r="E61" s="234"/>
      <c r="F61" s="234"/>
      <c r="G61" s="162" t="s">
        <v>156</v>
      </c>
      <c r="H61" s="211" t="s">
        <v>157</v>
      </c>
      <c r="I61" s="233"/>
      <c r="J61" s="162"/>
      <c r="K61" s="162"/>
      <c r="L61" s="162"/>
      <c r="M61" s="162"/>
      <c r="N61" s="162"/>
      <c r="Y61" s="167"/>
    </row>
    <row r="62" spans="1:27" ht="15.75" customHeight="1">
      <c r="E62" s="234"/>
      <c r="F62" s="234"/>
      <c r="G62" s="162" t="s">
        <v>158</v>
      </c>
      <c r="H62" s="211" t="s">
        <v>159</v>
      </c>
      <c r="I62" s="233"/>
      <c r="J62" s="162"/>
      <c r="K62" s="162"/>
      <c r="L62" s="162"/>
      <c r="M62" s="162"/>
      <c r="N62" s="162"/>
      <c r="Y62" s="167"/>
    </row>
    <row r="63" spans="1:27">
      <c r="E63" s="165"/>
      <c r="F63" s="165"/>
      <c r="I63" s="233"/>
      <c r="J63" s="162"/>
      <c r="K63" s="162"/>
      <c r="L63" s="162"/>
      <c r="M63" s="162"/>
      <c r="N63" s="162"/>
    </row>
    <row r="64" spans="1:27">
      <c r="E64" s="234" t="s">
        <v>345</v>
      </c>
      <c r="F64" s="234"/>
      <c r="I64" s="233"/>
      <c r="J64" s="162"/>
      <c r="K64" s="162"/>
      <c r="L64" s="162"/>
      <c r="M64" s="162"/>
      <c r="N64" s="162"/>
      <c r="X64" s="292"/>
      <c r="Y64" s="167"/>
    </row>
    <row r="65" spans="1:44">
      <c r="E65" s="163"/>
      <c r="F65" s="163"/>
      <c r="G65" s="162" t="s">
        <v>154</v>
      </c>
      <c r="H65" s="211" t="s">
        <v>164</v>
      </c>
      <c r="J65" s="162"/>
      <c r="K65" s="162"/>
      <c r="L65" s="162"/>
      <c r="M65" s="162"/>
      <c r="N65" s="162"/>
      <c r="X65" s="292"/>
      <c r="Y65" s="167"/>
    </row>
    <row r="66" spans="1:44">
      <c r="E66" s="163"/>
      <c r="F66" s="163"/>
      <c r="G66" s="162" t="s">
        <v>156</v>
      </c>
      <c r="H66" s="211" t="s">
        <v>166</v>
      </c>
      <c r="J66" s="162"/>
      <c r="K66" s="162"/>
      <c r="L66" s="162"/>
      <c r="M66" s="162"/>
      <c r="N66" s="162"/>
      <c r="X66" s="292"/>
      <c r="Y66" s="167"/>
    </row>
    <row r="67" spans="1:44">
      <c r="E67" s="163"/>
      <c r="F67" s="163"/>
      <c r="G67" s="162" t="s">
        <v>158</v>
      </c>
      <c r="H67" s="211" t="s">
        <v>168</v>
      </c>
      <c r="J67" s="162"/>
      <c r="K67" s="162"/>
      <c r="L67" s="162"/>
      <c r="M67" s="162"/>
      <c r="N67" s="162"/>
      <c r="O67" s="162"/>
      <c r="P67" s="286"/>
      <c r="Q67" s="286"/>
      <c r="R67" s="286"/>
      <c r="S67" s="286"/>
      <c r="T67" s="286"/>
      <c r="U67" s="286"/>
      <c r="V67" s="286"/>
      <c r="X67" s="292"/>
      <c r="Y67" s="167"/>
    </row>
    <row r="68" spans="1:44">
      <c r="E68" s="163"/>
      <c r="F68" s="163"/>
      <c r="G68" s="162" t="s">
        <v>170</v>
      </c>
      <c r="H68" s="211" t="s">
        <v>171</v>
      </c>
      <c r="J68" s="162"/>
      <c r="K68" s="162"/>
      <c r="L68" s="162"/>
      <c r="M68" s="162"/>
      <c r="N68" s="162"/>
      <c r="X68" s="292"/>
      <c r="Y68" s="167"/>
    </row>
    <row r="69" spans="1:44">
      <c r="E69" s="163"/>
      <c r="F69" s="163"/>
      <c r="G69" s="162"/>
      <c r="J69" s="162"/>
      <c r="K69" s="162"/>
      <c r="L69" s="162"/>
      <c r="M69" s="162"/>
      <c r="N69" s="162"/>
      <c r="X69" s="292"/>
      <c r="Y69" s="167"/>
    </row>
    <row r="70" spans="1:44">
      <c r="E70" s="235" t="s">
        <v>346</v>
      </c>
      <c r="F70" s="163"/>
      <c r="H70" s="167"/>
      <c r="I70" s="233"/>
      <c r="J70" s="162"/>
      <c r="K70" s="162"/>
      <c r="L70" s="162"/>
      <c r="M70" s="162"/>
      <c r="N70" s="162"/>
    </row>
    <row r="71" spans="1:44">
      <c r="A71" s="83"/>
      <c r="B71" s="83"/>
      <c r="E71" s="163" t="s">
        <v>388</v>
      </c>
      <c r="F71" s="163"/>
      <c r="G71" s="83"/>
      <c r="I71" s="233"/>
      <c r="J71" s="162"/>
      <c r="K71" s="162"/>
      <c r="L71" s="162"/>
      <c r="M71" s="162"/>
      <c r="N71" s="162"/>
      <c r="P71" s="279" t="s">
        <v>389</v>
      </c>
      <c r="Q71" s="279" t="s">
        <v>390</v>
      </c>
      <c r="R71" s="293">
        <f>0.25*1.0235</f>
        <v>0.25587500000000002</v>
      </c>
      <c r="S71" s="292"/>
      <c r="T71" s="292"/>
      <c r="X71" s="292"/>
    </row>
    <row r="72" spans="1:44" s="159" customFormat="1">
      <c r="E72" s="210"/>
      <c r="F72" s="210"/>
      <c r="H72" s="211"/>
      <c r="I72" s="233"/>
      <c r="J72" s="162"/>
      <c r="K72" s="162"/>
      <c r="L72" s="162"/>
      <c r="M72" s="162"/>
      <c r="N72" s="162"/>
      <c r="P72" s="279"/>
      <c r="Q72" s="279"/>
      <c r="R72" s="279"/>
      <c r="S72" s="279"/>
      <c r="T72" s="279"/>
      <c r="U72" s="279"/>
      <c r="V72" s="279"/>
      <c r="W72" s="279"/>
      <c r="X72" s="293"/>
      <c r="Y72" s="294"/>
      <c r="Z72" s="167"/>
      <c r="AA72" s="167"/>
      <c r="AB72" s="167"/>
      <c r="AC72" s="167"/>
      <c r="AD72" s="167"/>
      <c r="AE72" s="167"/>
      <c r="AF72" s="167"/>
      <c r="AG72" s="167"/>
      <c r="AH72" s="167"/>
      <c r="AI72" s="167"/>
      <c r="AJ72" s="167"/>
      <c r="AK72" s="167"/>
      <c r="AL72" s="167"/>
      <c r="AM72" s="167"/>
      <c r="AN72" s="167"/>
      <c r="AO72" s="167"/>
      <c r="AP72" s="167"/>
      <c r="AQ72" s="167"/>
      <c r="AR72" s="167"/>
    </row>
    <row r="73" spans="1:44" s="159" customFormat="1">
      <c r="E73" s="234" t="s">
        <v>348</v>
      </c>
      <c r="F73" s="234"/>
      <c r="H73" s="211"/>
      <c r="I73" s="233"/>
      <c r="J73" s="162"/>
      <c r="K73" s="162"/>
      <c r="L73" s="162"/>
      <c r="M73" s="162"/>
      <c r="N73" s="162"/>
      <c r="P73" s="279"/>
      <c r="Q73" s="279"/>
      <c r="R73" s="279"/>
      <c r="S73" s="279"/>
      <c r="T73" s="279"/>
      <c r="U73" s="279"/>
      <c r="V73" s="279"/>
      <c r="W73" s="279"/>
      <c r="X73" s="293"/>
      <c r="Y73" s="294"/>
      <c r="Z73" s="167"/>
      <c r="AA73" s="167"/>
      <c r="AB73" s="167"/>
      <c r="AC73" s="167"/>
      <c r="AD73" s="167"/>
      <c r="AE73" s="167"/>
      <c r="AF73" s="167"/>
      <c r="AG73" s="167"/>
      <c r="AH73" s="167"/>
      <c r="AI73" s="167"/>
      <c r="AJ73" s="167"/>
      <c r="AK73" s="167"/>
      <c r="AL73" s="167"/>
      <c r="AM73" s="167"/>
      <c r="AN73" s="167"/>
      <c r="AO73" s="167"/>
      <c r="AP73" s="167"/>
      <c r="AQ73" s="167"/>
      <c r="AR73" s="167"/>
    </row>
    <row r="74" spans="1:44" s="159" customFormat="1">
      <c r="E74" s="163" t="s">
        <v>176</v>
      </c>
      <c r="F74" s="163"/>
      <c r="H74" s="211"/>
      <c r="I74" s="233"/>
      <c r="J74" s="162"/>
      <c r="K74" s="162"/>
      <c r="L74" s="162"/>
      <c r="M74" s="162"/>
      <c r="N74" s="162"/>
      <c r="P74" s="279"/>
      <c r="Q74" s="279"/>
      <c r="R74" s="279"/>
      <c r="S74" s="279"/>
      <c r="T74" s="279"/>
      <c r="U74" s="279"/>
      <c r="V74" s="279"/>
      <c r="W74" s="279"/>
      <c r="X74" s="293"/>
      <c r="Y74" s="294"/>
      <c r="Z74" s="167"/>
      <c r="AA74" s="167"/>
      <c r="AB74" s="167"/>
      <c r="AC74" s="167"/>
      <c r="AD74" s="167"/>
      <c r="AE74" s="167"/>
      <c r="AF74" s="167"/>
      <c r="AG74" s="167"/>
      <c r="AH74" s="167"/>
      <c r="AI74" s="167"/>
      <c r="AJ74" s="167"/>
      <c r="AK74" s="167"/>
      <c r="AL74" s="167"/>
      <c r="AM74" s="167"/>
      <c r="AN74" s="167"/>
      <c r="AO74" s="167"/>
      <c r="AP74" s="167"/>
      <c r="AQ74" s="167"/>
      <c r="AR74" s="167"/>
    </row>
    <row r="75" spans="1:44" s="159" customFormat="1">
      <c r="E75" s="210"/>
      <c r="F75" s="210"/>
      <c r="H75" s="160"/>
      <c r="I75" s="236"/>
      <c r="J75" s="162"/>
      <c r="K75" s="162"/>
      <c r="L75" s="162"/>
      <c r="M75" s="162"/>
      <c r="N75" s="162"/>
      <c r="P75" s="279" t="s">
        <v>391</v>
      </c>
      <c r="Q75" s="279" t="s">
        <v>392</v>
      </c>
      <c r="R75" s="279">
        <v>1.905</v>
      </c>
      <c r="S75" s="279"/>
      <c r="T75" s="279"/>
      <c r="U75" s="279"/>
      <c r="V75" s="279"/>
      <c r="W75" s="279"/>
      <c r="X75" s="293"/>
      <c r="Y75" s="294"/>
      <c r="Z75" s="167"/>
      <c r="AA75" s="167"/>
      <c r="AB75" s="167"/>
      <c r="AC75" s="167"/>
      <c r="AD75" s="167"/>
      <c r="AE75" s="167"/>
      <c r="AF75" s="167"/>
      <c r="AG75" s="167"/>
      <c r="AH75" s="167"/>
      <c r="AI75" s="167"/>
      <c r="AJ75" s="167"/>
      <c r="AK75" s="167"/>
      <c r="AL75" s="167"/>
      <c r="AM75" s="167"/>
      <c r="AN75" s="167"/>
      <c r="AO75" s="167"/>
      <c r="AP75" s="167"/>
      <c r="AQ75" s="167"/>
      <c r="AR75" s="167"/>
    </row>
    <row r="76" spans="1:44">
      <c r="E76" s="234" t="s">
        <v>349</v>
      </c>
      <c r="F76" s="234"/>
      <c r="H76" s="160"/>
      <c r="I76" s="236"/>
      <c r="J76" s="83"/>
      <c r="K76" s="83"/>
      <c r="L76" s="161"/>
      <c r="M76" s="162"/>
      <c r="N76" s="162"/>
    </row>
    <row r="77" spans="1:44">
      <c r="A77" s="233"/>
      <c r="B77" s="233"/>
      <c r="E77" s="163" t="s">
        <v>393</v>
      </c>
      <c r="F77" s="233"/>
      <c r="H77" s="160"/>
      <c r="I77" s="159"/>
      <c r="J77" s="83"/>
      <c r="K77" s="83"/>
      <c r="L77" s="161"/>
      <c r="M77" s="162"/>
      <c r="N77" s="162"/>
    </row>
    <row r="78" spans="1:44">
      <c r="A78" s="233"/>
      <c r="B78" s="233"/>
      <c r="E78" s="163"/>
      <c r="F78" s="233"/>
      <c r="H78" s="160"/>
      <c r="I78" s="159"/>
      <c r="J78" s="83"/>
      <c r="K78" s="83"/>
      <c r="L78" s="161"/>
      <c r="M78" s="162"/>
      <c r="N78" s="162"/>
    </row>
    <row r="79" spans="1:44">
      <c r="E79" s="237" t="s">
        <v>242</v>
      </c>
      <c r="F79" s="217"/>
    </row>
    <row r="80" spans="1:44">
      <c r="E80" s="238" t="s">
        <v>351</v>
      </c>
      <c r="F80" s="238"/>
      <c r="H80" s="217"/>
      <c r="I80" s="239"/>
      <c r="J80" s="213"/>
      <c r="P80" s="297" t="s">
        <v>394</v>
      </c>
      <c r="Q80" s="297" t="s">
        <v>395</v>
      </c>
      <c r="R80" s="298">
        <f>3.133*1.0235</f>
        <v>3.2066255000000004</v>
      </c>
      <c r="S80" s="292"/>
    </row>
    <row r="81" spans="1:30">
      <c r="E81" s="238" t="s">
        <v>396</v>
      </c>
      <c r="F81" s="238"/>
      <c r="H81" s="217"/>
      <c r="I81" s="239"/>
      <c r="J81" s="233"/>
      <c r="K81" s="233"/>
      <c r="L81" s="167"/>
      <c r="M81" s="167"/>
      <c r="N81" s="167"/>
      <c r="X81" s="292"/>
    </row>
    <row r="82" spans="1:30">
      <c r="E82" s="238"/>
      <c r="F82" s="238"/>
      <c r="I82" s="218"/>
      <c r="J82" s="220"/>
      <c r="M82" s="220"/>
    </row>
    <row r="83" spans="1:30">
      <c r="A83" s="209"/>
      <c r="B83" s="209"/>
      <c r="E83" s="237" t="s">
        <v>246</v>
      </c>
      <c r="F83" s="217"/>
      <c r="G83" s="209"/>
      <c r="I83" s="218"/>
      <c r="J83" s="220"/>
      <c r="M83" s="220"/>
    </row>
    <row r="84" spans="1:30">
      <c r="A84" s="209"/>
      <c r="B84" s="209"/>
      <c r="E84" s="238" t="s">
        <v>397</v>
      </c>
      <c r="F84" s="238"/>
      <c r="G84" s="209"/>
      <c r="H84" s="160"/>
      <c r="I84" s="233"/>
      <c r="J84" s="233"/>
      <c r="K84" s="240"/>
      <c r="L84" s="211"/>
      <c r="M84" s="162"/>
      <c r="N84" s="162"/>
      <c r="P84" s="279" t="s">
        <v>398</v>
      </c>
      <c r="Q84" s="279" t="s">
        <v>399</v>
      </c>
      <c r="R84" s="279">
        <v>0.81599999999999995</v>
      </c>
      <c r="S84" s="292"/>
    </row>
    <row r="85" spans="1:30">
      <c r="A85" s="162"/>
      <c r="B85" s="162"/>
      <c r="E85" s="238"/>
      <c r="F85" s="238"/>
      <c r="G85" s="162"/>
    </row>
    <row r="86" spans="1:30">
      <c r="A86" s="83"/>
      <c r="B86" s="83"/>
      <c r="E86" s="166" t="s">
        <v>400</v>
      </c>
      <c r="F86" s="166"/>
      <c r="G86" s="83"/>
      <c r="H86" s="160"/>
      <c r="J86" s="241"/>
      <c r="K86" s="241"/>
      <c r="L86" s="242"/>
      <c r="M86" s="162"/>
      <c r="N86" s="162"/>
      <c r="X86" s="299"/>
      <c r="Z86" s="296"/>
      <c r="AA86" s="296"/>
      <c r="AB86" s="296"/>
      <c r="AC86" s="296"/>
      <c r="AD86" s="296"/>
    </row>
    <row r="87" spans="1:30" s="296" customFormat="1" ht="30.75" customHeight="1">
      <c r="A87" s="243"/>
      <c r="B87" s="243"/>
      <c r="D87" s="209"/>
      <c r="E87" s="291" t="s">
        <v>188</v>
      </c>
      <c r="F87" s="241"/>
      <c r="G87" s="243"/>
      <c r="H87" s="160"/>
      <c r="I87" s="167"/>
      <c r="J87" s="303" t="s">
        <v>401</v>
      </c>
      <c r="K87" s="303" t="s">
        <v>402</v>
      </c>
      <c r="N87" s="162"/>
      <c r="O87" s="159"/>
      <c r="P87" s="279"/>
      <c r="Q87" s="279"/>
      <c r="R87" s="279"/>
      <c r="S87" s="279"/>
      <c r="T87" s="279"/>
      <c r="U87" s="279"/>
      <c r="V87" s="279"/>
      <c r="W87" s="279"/>
      <c r="X87" s="293"/>
      <c r="Y87" s="300"/>
      <c r="Z87" s="167"/>
      <c r="AA87" s="167"/>
      <c r="AB87" s="167"/>
      <c r="AC87" s="167"/>
      <c r="AD87" s="167"/>
    </row>
    <row r="88" spans="1:30">
      <c r="A88" s="83"/>
      <c r="B88" s="83"/>
      <c r="E88" s="160" t="s">
        <v>191</v>
      </c>
      <c r="F88" s="160"/>
      <c r="G88" s="83"/>
      <c r="H88" s="160"/>
      <c r="J88" s="220">
        <f>'1 1 2018'!L87*1.0235</f>
        <v>0.47525196470842745</v>
      </c>
      <c r="K88" s="220"/>
      <c r="L88" s="167"/>
      <c r="M88" s="167"/>
      <c r="N88" s="162"/>
      <c r="P88" s="279" t="s">
        <v>403</v>
      </c>
      <c r="Q88" s="279" t="s">
        <v>404</v>
      </c>
      <c r="R88" s="289">
        <f>J88</f>
        <v>0.47525196470842745</v>
      </c>
    </row>
    <row r="89" spans="1:30">
      <c r="A89" s="83"/>
      <c r="B89" s="83"/>
      <c r="E89" s="160" t="s">
        <v>355</v>
      </c>
      <c r="F89" s="160"/>
      <c r="G89" s="83"/>
      <c r="H89" s="160"/>
      <c r="J89" s="220">
        <f>'1 1 2018'!L88*1.0235</f>
        <v>0.69975084512830443</v>
      </c>
      <c r="K89" s="220">
        <f>'1 1 2018'!M88*1.0235</f>
        <v>1.3295266057437782</v>
      </c>
      <c r="L89" s="167"/>
      <c r="M89" s="167"/>
      <c r="N89" s="162"/>
      <c r="P89" s="279" t="s">
        <v>405</v>
      </c>
      <c r="Q89" s="279" t="s">
        <v>406</v>
      </c>
      <c r="R89" s="289">
        <f>J89</f>
        <v>0.69975084512830443</v>
      </c>
    </row>
    <row r="90" spans="1:30">
      <c r="A90" s="83"/>
      <c r="B90" s="83"/>
      <c r="E90" s="160"/>
      <c r="F90" s="160"/>
      <c r="G90" s="83"/>
      <c r="H90" s="160"/>
      <c r="J90" s="220"/>
      <c r="K90" s="220"/>
      <c r="L90" s="167"/>
      <c r="M90" s="167"/>
      <c r="N90" s="162"/>
      <c r="P90" s="279" t="s">
        <v>407</v>
      </c>
      <c r="Q90" s="279" t="s">
        <v>408</v>
      </c>
      <c r="R90" s="289">
        <f>K89</f>
        <v>1.3295266057437782</v>
      </c>
    </row>
    <row r="91" spans="1:30">
      <c r="A91" s="83"/>
      <c r="B91" s="83"/>
      <c r="E91" s="83" t="s">
        <v>193</v>
      </c>
      <c r="F91" s="83"/>
      <c r="G91" s="83"/>
      <c r="H91" s="160"/>
      <c r="J91" s="220" t="s">
        <v>194</v>
      </c>
      <c r="K91" s="220">
        <f>'1 1 2018'!M89*1.0235</f>
        <v>1.1398621341053685</v>
      </c>
      <c r="L91" s="167"/>
      <c r="M91" s="167"/>
      <c r="N91" s="162"/>
      <c r="P91" s="279" t="s">
        <v>409</v>
      </c>
      <c r="Q91" s="279" t="s">
        <v>410</v>
      </c>
      <c r="R91" s="289">
        <f>K91</f>
        <v>1.1398621341053685</v>
      </c>
    </row>
    <row r="92" spans="1:30">
      <c r="A92" s="83"/>
      <c r="B92" s="83"/>
      <c r="E92" s="160" t="s">
        <v>195</v>
      </c>
      <c r="F92" s="160"/>
      <c r="G92" s="83"/>
      <c r="H92" s="160"/>
      <c r="J92" s="220">
        <f>'1 1 2018'!L90*1.0235</f>
        <v>1.959302366359253</v>
      </c>
      <c r="K92" s="220"/>
      <c r="L92" s="167"/>
      <c r="M92" s="167"/>
      <c r="N92" s="162"/>
      <c r="P92" s="279" t="s">
        <v>411</v>
      </c>
      <c r="Q92" s="279" t="s">
        <v>412</v>
      </c>
      <c r="R92" s="289">
        <f>J92</f>
        <v>1.959302366359253</v>
      </c>
    </row>
    <row r="93" spans="1:30">
      <c r="A93" s="83"/>
      <c r="B93" s="83"/>
      <c r="E93" s="83" t="s">
        <v>196</v>
      </c>
      <c r="F93" s="83"/>
      <c r="G93" s="83"/>
      <c r="H93" s="160"/>
      <c r="I93" s="236"/>
      <c r="J93" s="220">
        <f>'1 1 2018'!L91*1.0235</f>
        <v>1.7493771128207614</v>
      </c>
      <c r="K93" s="83"/>
      <c r="L93" s="167"/>
      <c r="M93" s="167"/>
      <c r="N93" s="162"/>
      <c r="P93" s="279" t="s">
        <v>413</v>
      </c>
      <c r="Q93" s="279" t="s">
        <v>414</v>
      </c>
      <c r="R93" s="289">
        <f>J93</f>
        <v>1.7493771128207614</v>
      </c>
    </row>
    <row r="94" spans="1:30">
      <c r="A94" s="83"/>
      <c r="B94" s="83"/>
      <c r="E94" s="83" t="s">
        <v>197</v>
      </c>
      <c r="F94" s="83"/>
      <c r="G94" s="83"/>
      <c r="H94" s="160"/>
      <c r="I94" s="236"/>
      <c r="J94" s="220">
        <f>'1 1 2018'!L92*1.0235</f>
        <v>0.69975084512830443</v>
      </c>
      <c r="K94" s="83"/>
      <c r="L94" s="167"/>
      <c r="M94" s="167"/>
      <c r="N94" s="162"/>
      <c r="P94" s="279" t="s">
        <v>415</v>
      </c>
      <c r="Q94" s="279" t="s">
        <v>416</v>
      </c>
      <c r="R94" s="289">
        <f>J94</f>
        <v>0.69975084512830443</v>
      </c>
    </row>
    <row r="95" spans="1:30">
      <c r="A95" s="83"/>
      <c r="B95" s="83"/>
      <c r="E95" s="83"/>
      <c r="F95" s="83"/>
      <c r="G95" s="83"/>
      <c r="H95" s="160"/>
      <c r="I95" s="236"/>
      <c r="J95" s="83"/>
      <c r="K95" s="83"/>
      <c r="L95" s="83"/>
      <c r="M95" s="162"/>
      <c r="N95" s="162"/>
    </row>
    <row r="96" spans="1:30" ht="15.75">
      <c r="A96" s="83"/>
      <c r="B96" s="83"/>
      <c r="E96" s="234" t="s">
        <v>198</v>
      </c>
      <c r="F96" s="304"/>
      <c r="G96" s="305"/>
      <c r="H96" s="306"/>
      <c r="I96" s="305"/>
      <c r="J96" s="305"/>
      <c r="K96" s="83"/>
      <c r="L96" s="83"/>
      <c r="M96" s="162"/>
      <c r="N96" s="162"/>
    </row>
    <row r="97" spans="1:30" ht="15.75">
      <c r="A97" s="170"/>
      <c r="B97" s="170"/>
      <c r="E97" s="165" t="s">
        <v>199</v>
      </c>
      <c r="F97" s="165"/>
      <c r="G97" s="305"/>
      <c r="H97" s="306"/>
      <c r="I97" s="305"/>
      <c r="J97" s="305"/>
      <c r="K97" s="170"/>
      <c r="L97" s="170"/>
      <c r="M97" s="246"/>
      <c r="N97" s="246"/>
    </row>
    <row r="98" spans="1:30" ht="15.75">
      <c r="A98" s="170"/>
      <c r="B98" s="170"/>
      <c r="E98" s="165" t="s">
        <v>200</v>
      </c>
      <c r="F98" s="165"/>
      <c r="G98" s="305"/>
      <c r="H98" s="306"/>
      <c r="I98" s="305"/>
      <c r="J98" s="305"/>
      <c r="K98" s="170"/>
      <c r="L98" s="170"/>
      <c r="M98" s="246"/>
      <c r="N98" s="246"/>
    </row>
    <row r="99" spans="1:30" ht="15.75">
      <c r="A99" s="170"/>
      <c r="B99" s="170"/>
      <c r="E99" s="165" t="s">
        <v>201</v>
      </c>
      <c r="F99" s="165"/>
      <c r="G99" s="305"/>
      <c r="H99" s="306"/>
      <c r="I99" s="305"/>
      <c r="J99" s="305"/>
      <c r="K99" s="170"/>
      <c r="L99" s="170"/>
      <c r="M99" s="246"/>
      <c r="N99" s="246"/>
    </row>
    <row r="100" spans="1:30" ht="15.75">
      <c r="A100" s="170"/>
      <c r="B100" s="170"/>
      <c r="E100" s="165" t="s">
        <v>202</v>
      </c>
      <c r="F100" s="165"/>
      <c r="G100" s="305"/>
      <c r="H100" s="306"/>
      <c r="I100" s="305"/>
      <c r="J100" s="305"/>
      <c r="K100" s="170"/>
      <c r="L100" s="170"/>
      <c r="M100" s="246"/>
      <c r="N100" s="246"/>
    </row>
    <row r="101" spans="1:30" ht="15.75">
      <c r="A101" s="170"/>
      <c r="B101" s="170"/>
      <c r="E101" s="165" t="s">
        <v>203</v>
      </c>
      <c r="F101" s="165"/>
      <c r="G101" s="305"/>
      <c r="H101" s="306"/>
      <c r="I101" s="305"/>
      <c r="J101" s="305"/>
      <c r="K101" s="170"/>
      <c r="L101" s="170"/>
      <c r="M101" s="246"/>
      <c r="N101" s="246"/>
    </row>
    <row r="102" spans="1:30" ht="15.75">
      <c r="A102" s="170"/>
      <c r="B102" s="170"/>
      <c r="E102" s="165" t="s">
        <v>204</v>
      </c>
      <c r="F102" s="165"/>
      <c r="G102" s="305"/>
      <c r="H102" s="306"/>
      <c r="I102" s="305"/>
      <c r="J102" s="305"/>
      <c r="K102" s="170"/>
      <c r="L102" s="170"/>
      <c r="M102" s="246"/>
      <c r="N102" s="246"/>
    </row>
    <row r="103" spans="1:30" ht="15.75">
      <c r="A103" s="170"/>
      <c r="B103" s="170"/>
      <c r="E103" s="165" t="s">
        <v>205</v>
      </c>
      <c r="F103" s="165"/>
      <c r="G103" s="305"/>
      <c r="H103" s="306"/>
      <c r="I103" s="305"/>
      <c r="J103" s="305"/>
      <c r="K103" s="170"/>
      <c r="L103" s="170"/>
      <c r="M103" s="246"/>
      <c r="N103" s="246"/>
      <c r="X103" s="298"/>
      <c r="Z103" s="233"/>
      <c r="AA103" s="233"/>
      <c r="AB103" s="233"/>
    </row>
    <row r="104" spans="1:30" ht="15.75">
      <c r="A104" s="170"/>
      <c r="B104" s="170"/>
      <c r="E104" s="165" t="s">
        <v>206</v>
      </c>
      <c r="F104" s="165"/>
      <c r="G104" s="305"/>
      <c r="H104" s="306"/>
      <c r="I104" s="305"/>
      <c r="J104" s="305"/>
      <c r="K104" s="170"/>
      <c r="L104" s="170"/>
      <c r="M104" s="246"/>
      <c r="N104" s="246"/>
      <c r="X104" s="298"/>
      <c r="Y104" s="301"/>
      <c r="Z104" s="233"/>
      <c r="AA104" s="233"/>
      <c r="AB104" s="233"/>
    </row>
    <row r="105" spans="1:30" ht="15.75">
      <c r="A105" s="170"/>
      <c r="B105" s="170"/>
      <c r="E105" s="163" t="s">
        <v>207</v>
      </c>
      <c r="F105" s="163"/>
      <c r="G105" s="305"/>
      <c r="H105" s="306"/>
      <c r="I105" s="305"/>
      <c r="J105" s="305"/>
      <c r="K105" s="170"/>
      <c r="L105" s="170"/>
      <c r="M105" s="246"/>
      <c r="N105" s="246"/>
      <c r="Y105" s="301"/>
      <c r="AC105" s="233"/>
    </row>
    <row r="106" spans="1:30" ht="15.75">
      <c r="A106" s="170"/>
      <c r="B106" s="170"/>
      <c r="E106" s="163" t="s">
        <v>208</v>
      </c>
      <c r="F106" s="163"/>
      <c r="G106" s="305"/>
      <c r="H106" s="306"/>
      <c r="I106" s="305"/>
      <c r="J106" s="305"/>
      <c r="K106" s="170"/>
      <c r="L106" s="170"/>
      <c r="M106" s="246"/>
      <c r="N106" s="246"/>
      <c r="AC106" s="233"/>
    </row>
    <row r="107" spans="1:30" ht="15.75">
      <c r="A107" s="170"/>
      <c r="B107" s="170"/>
      <c r="E107" s="163" t="s">
        <v>209</v>
      </c>
      <c r="F107" s="163"/>
      <c r="G107" s="305"/>
      <c r="H107" s="306"/>
      <c r="I107" s="305"/>
      <c r="J107" s="305"/>
      <c r="K107" s="170"/>
      <c r="L107" s="170"/>
      <c r="M107" s="246"/>
      <c r="N107" s="246"/>
      <c r="AD107" s="233"/>
    </row>
    <row r="108" spans="1:30" ht="15.75">
      <c r="A108" s="170"/>
      <c r="B108" s="170"/>
      <c r="E108" s="165" t="s">
        <v>210</v>
      </c>
      <c r="F108" s="165"/>
      <c r="G108" s="305"/>
      <c r="H108" s="306"/>
      <c r="I108" s="305"/>
      <c r="J108" s="305"/>
      <c r="K108" s="170"/>
      <c r="L108" s="170"/>
      <c r="M108" s="246"/>
      <c r="N108" s="246"/>
      <c r="AD108" s="233"/>
    </row>
    <row r="109" spans="1:30" ht="15.75">
      <c r="A109" s="170"/>
      <c r="B109" s="170"/>
      <c r="E109" s="165" t="s">
        <v>211</v>
      </c>
      <c r="F109" s="165"/>
      <c r="G109" s="305"/>
      <c r="H109" s="306"/>
      <c r="I109" s="305"/>
      <c r="J109" s="305"/>
      <c r="K109" s="170"/>
      <c r="L109" s="170"/>
      <c r="M109" s="246"/>
      <c r="N109" s="246"/>
      <c r="AD109" s="233"/>
    </row>
    <row r="110" spans="1:30" ht="15.75">
      <c r="A110" s="170"/>
      <c r="B110" s="170"/>
      <c r="E110" s="165" t="s">
        <v>212</v>
      </c>
      <c r="F110" s="165"/>
      <c r="G110" s="305"/>
      <c r="H110" s="306"/>
      <c r="I110" s="305"/>
      <c r="J110" s="305"/>
      <c r="K110" s="170"/>
      <c r="L110" s="170"/>
      <c r="M110" s="246"/>
      <c r="N110" s="246"/>
      <c r="AD110" s="233"/>
    </row>
    <row r="111" spans="1:30" ht="15.75">
      <c r="A111" s="167"/>
      <c r="B111" s="167"/>
      <c r="E111" s="165"/>
      <c r="F111" s="83" t="s">
        <v>213</v>
      </c>
      <c r="G111" s="305"/>
      <c r="H111" s="306"/>
      <c r="I111" s="305"/>
      <c r="J111" s="305"/>
      <c r="K111" s="170"/>
      <c r="L111" s="170"/>
      <c r="M111" s="246"/>
      <c r="N111" s="246"/>
      <c r="AD111" s="233"/>
    </row>
    <row r="112" spans="1:30" ht="15.75">
      <c r="A112" s="167"/>
      <c r="B112" s="167"/>
      <c r="E112" s="165"/>
      <c r="F112" s="83" t="s">
        <v>356</v>
      </c>
      <c r="G112" s="305"/>
      <c r="H112" s="306"/>
      <c r="I112" s="305"/>
      <c r="J112" s="305"/>
      <c r="K112" s="170"/>
      <c r="L112" s="170"/>
      <c r="M112" s="246"/>
      <c r="N112" s="246"/>
      <c r="AD112" s="233"/>
    </row>
    <row r="113" spans="1:30" ht="15.75">
      <c r="A113" s="167"/>
      <c r="B113" s="167"/>
      <c r="E113" s="165"/>
      <c r="F113" s="83" t="s">
        <v>215</v>
      </c>
      <c r="G113" s="305"/>
      <c r="H113" s="306"/>
      <c r="I113" s="305"/>
      <c r="J113" s="305"/>
      <c r="K113" s="170"/>
      <c r="L113" s="170"/>
      <c r="M113" s="246"/>
      <c r="N113" s="246"/>
      <c r="AD113" s="233"/>
    </row>
    <row r="114" spans="1:30" s="233" customFormat="1" ht="15.75">
      <c r="A114" s="170"/>
      <c r="B114" s="170"/>
      <c r="D114" s="159"/>
      <c r="E114" s="165" t="s">
        <v>216</v>
      </c>
      <c r="F114" s="165"/>
      <c r="G114" s="305"/>
      <c r="H114" s="306"/>
      <c r="I114" s="305"/>
      <c r="J114" s="307"/>
      <c r="K114" s="246"/>
      <c r="L114" s="246"/>
      <c r="M114" s="246"/>
      <c r="N114" s="246"/>
      <c r="O114" s="159"/>
      <c r="P114" s="279"/>
      <c r="Q114" s="279"/>
      <c r="R114" s="279"/>
      <c r="S114" s="279"/>
      <c r="T114" s="279"/>
      <c r="U114" s="279"/>
      <c r="V114" s="279"/>
      <c r="W114" s="279"/>
      <c r="X114" s="293"/>
      <c r="Y114" s="294"/>
      <c r="Z114" s="167"/>
      <c r="AA114" s="167"/>
      <c r="AB114" s="167"/>
      <c r="AC114" s="167"/>
      <c r="AD114" s="167"/>
    </row>
    <row r="115" spans="1:30" s="233" customFormat="1">
      <c r="A115" s="83"/>
      <c r="B115" s="83"/>
      <c r="D115" s="159"/>
      <c r="E115" s="165"/>
      <c r="F115" s="165"/>
      <c r="G115" s="83"/>
      <c r="H115" s="160"/>
      <c r="I115" s="236"/>
      <c r="J115" s="162"/>
      <c r="K115" s="162"/>
      <c r="L115" s="162"/>
      <c r="M115" s="162"/>
      <c r="N115" s="162"/>
      <c r="O115" s="159"/>
      <c r="P115" s="279"/>
      <c r="Q115" s="279"/>
      <c r="R115" s="279"/>
      <c r="S115" s="279"/>
      <c r="T115" s="279"/>
      <c r="U115" s="279"/>
      <c r="V115" s="279"/>
      <c r="W115" s="279"/>
      <c r="X115" s="293"/>
      <c r="Y115" s="294"/>
      <c r="Z115" s="167"/>
      <c r="AA115" s="167"/>
      <c r="AB115" s="167"/>
      <c r="AC115" s="167"/>
      <c r="AD115" s="167"/>
    </row>
    <row r="116" spans="1:30" s="233" customFormat="1">
      <c r="A116" s="83"/>
      <c r="B116" s="83"/>
      <c r="D116" s="159"/>
      <c r="E116" s="166" t="s">
        <v>217</v>
      </c>
      <c r="F116" s="166"/>
      <c r="G116" s="83"/>
      <c r="H116" s="160"/>
      <c r="I116" s="248"/>
      <c r="J116" s="249"/>
      <c r="K116" s="162"/>
      <c r="L116" s="162"/>
      <c r="M116" s="162"/>
      <c r="N116" s="162"/>
      <c r="O116" s="159"/>
      <c r="P116" s="279"/>
      <c r="Q116" s="279"/>
      <c r="R116" s="279"/>
      <c r="S116" s="279"/>
      <c r="T116" s="279"/>
      <c r="U116" s="279"/>
      <c r="V116" s="279"/>
      <c r="W116" s="279"/>
      <c r="X116" s="293"/>
      <c r="Y116" s="294"/>
      <c r="Z116" s="167"/>
      <c r="AA116" s="167"/>
      <c r="AB116" s="167"/>
      <c r="AC116" s="167"/>
      <c r="AD116" s="167"/>
    </row>
    <row r="117" spans="1:30">
      <c r="A117" s="83"/>
      <c r="B117" s="83"/>
      <c r="E117" s="165" t="s">
        <v>357</v>
      </c>
      <c r="F117" s="165"/>
      <c r="G117" s="83"/>
      <c r="H117" s="160"/>
      <c r="I117" s="236"/>
      <c r="J117" s="249"/>
      <c r="K117" s="162"/>
      <c r="L117" s="162"/>
      <c r="M117" s="162"/>
      <c r="N117" s="162"/>
      <c r="P117" s="279" t="s">
        <v>417</v>
      </c>
    </row>
    <row r="118" spans="1:30">
      <c r="A118" s="167"/>
      <c r="B118" s="167"/>
      <c r="E118" s="167"/>
      <c r="F118" s="220">
        <f>'1 1 2018'!C116*1.0235</f>
        <v>0.25247760625135202</v>
      </c>
      <c r="G118" s="160" t="s">
        <v>220</v>
      </c>
      <c r="H118" s="160"/>
      <c r="I118" s="236"/>
      <c r="J118" s="249"/>
      <c r="K118" s="162"/>
      <c r="L118" s="162"/>
      <c r="M118" s="162"/>
      <c r="N118" s="162"/>
      <c r="P118" s="279" t="s">
        <v>418</v>
      </c>
      <c r="R118" s="289">
        <f>F118</f>
        <v>0.25247760625135202</v>
      </c>
    </row>
    <row r="119" spans="1:30">
      <c r="A119" s="167"/>
      <c r="B119" s="167"/>
      <c r="E119" s="167"/>
      <c r="F119" s="220">
        <f>'1 1 2018'!C117*1.0235</f>
        <v>0.41955837509415872</v>
      </c>
      <c r="G119" s="160" t="s">
        <v>221</v>
      </c>
      <c r="P119" s="279" t="s">
        <v>419</v>
      </c>
      <c r="R119" s="289">
        <f t="shared" ref="R119:R121" si="21">F119</f>
        <v>0.41955837509415872</v>
      </c>
    </row>
    <row r="120" spans="1:30">
      <c r="A120" s="167"/>
      <c r="B120" s="167"/>
      <c r="E120" s="167"/>
      <c r="F120" s="220">
        <f>'1 1 2018'!C118*1.0235</f>
        <v>0.50619284782746565</v>
      </c>
      <c r="G120" s="160" t="s">
        <v>222</v>
      </c>
      <c r="H120" s="250"/>
      <c r="I120" s="251"/>
      <c r="J120" s="252"/>
      <c r="P120" s="279" t="s">
        <v>420</v>
      </c>
      <c r="R120" s="289">
        <f t="shared" si="21"/>
        <v>0.50619284782746565</v>
      </c>
    </row>
    <row r="121" spans="1:30">
      <c r="A121" s="167"/>
      <c r="B121" s="167"/>
      <c r="E121" s="167"/>
      <c r="F121" s="220">
        <f>'1 1 2018'!C119*1.0235</f>
        <v>0.66337253407218022</v>
      </c>
      <c r="G121" s="160" t="s">
        <v>223</v>
      </c>
      <c r="J121" s="252"/>
      <c r="P121" s="279" t="s">
        <v>421</v>
      </c>
      <c r="R121" s="289">
        <f t="shared" si="21"/>
        <v>0.66337253407218022</v>
      </c>
    </row>
    <row r="122" spans="1:30">
      <c r="H122" s="253"/>
      <c r="I122" s="254"/>
      <c r="J122" s="255"/>
    </row>
    <row r="123" spans="1:30">
      <c r="A123" s="256"/>
      <c r="B123" s="256"/>
      <c r="E123" s="263" t="s">
        <v>224</v>
      </c>
      <c r="F123" s="166"/>
      <c r="G123" s="256"/>
      <c r="I123" s="257"/>
      <c r="J123" s="258"/>
    </row>
    <row r="124" spans="1:30">
      <c r="A124" s="259"/>
      <c r="B124" s="259"/>
      <c r="E124" s="165" t="s">
        <v>422</v>
      </c>
      <c r="F124" s="165"/>
      <c r="G124" s="259"/>
      <c r="K124" s="167"/>
      <c r="L124" s="260"/>
      <c r="M124" s="211"/>
      <c r="N124" s="167"/>
      <c r="P124" s="279" t="s">
        <v>423</v>
      </c>
      <c r="Q124" s="279" t="s">
        <v>424</v>
      </c>
      <c r="R124" s="279">
        <v>1.413</v>
      </c>
      <c r="X124" s="293">
        <f>1.381*1.0235</f>
        <v>1.4134535000000001</v>
      </c>
    </row>
    <row r="125" spans="1:30">
      <c r="A125" s="256"/>
      <c r="B125" s="256"/>
      <c r="E125" s="165" t="s">
        <v>359</v>
      </c>
      <c r="F125" s="165"/>
      <c r="G125" s="256"/>
      <c r="P125" s="279" t="s">
        <v>425</v>
      </c>
      <c r="Q125" s="279" t="s">
        <v>426</v>
      </c>
      <c r="R125" s="290">
        <f>R124</f>
        <v>1.413</v>
      </c>
      <c r="W125" s="292"/>
    </row>
    <row r="126" spans="1:30">
      <c r="A126" s="258"/>
      <c r="B126" s="258"/>
      <c r="E126" s="165" t="s">
        <v>227</v>
      </c>
      <c r="F126" s="165"/>
      <c r="G126" s="258"/>
      <c r="P126" s="279" t="s">
        <v>427</v>
      </c>
      <c r="Q126" s="279" t="s">
        <v>428</v>
      </c>
      <c r="R126" s="290">
        <f>R125</f>
        <v>1.413</v>
      </c>
      <c r="V126" s="293"/>
      <c r="W126" s="294"/>
      <c r="X126" s="167"/>
      <c r="Y126" s="167"/>
    </row>
    <row r="127" spans="1:30">
      <c r="A127" s="258"/>
      <c r="B127" s="258"/>
      <c r="E127" s="165" t="s">
        <v>228</v>
      </c>
      <c r="F127" s="165"/>
      <c r="G127" s="258"/>
    </row>
    <row r="128" spans="1:30">
      <c r="E128" s="165" t="s">
        <v>229</v>
      </c>
      <c r="F128" s="165"/>
      <c r="H128" s="160"/>
      <c r="I128" s="236"/>
      <c r="J128" s="83"/>
      <c r="K128" s="83"/>
    </row>
    <row r="129" spans="1:30">
      <c r="E129" s="83"/>
      <c r="F129" s="83"/>
      <c r="H129" s="160"/>
      <c r="I129" s="236"/>
      <c r="J129" s="83"/>
      <c r="K129" s="83"/>
    </row>
    <row r="130" spans="1:30">
      <c r="A130" s="83"/>
      <c r="B130" s="83"/>
      <c r="E130" s="83" t="s">
        <v>429</v>
      </c>
      <c r="F130" s="83"/>
      <c r="G130" s="83"/>
      <c r="H130" s="160"/>
      <c r="I130" s="236"/>
      <c r="J130" s="83"/>
      <c r="K130" s="83"/>
    </row>
    <row r="131" spans="1:30">
      <c r="E131" s="210" t="s">
        <v>430</v>
      </c>
      <c r="P131" s="279" t="s">
        <v>431</v>
      </c>
      <c r="Q131" s="279" t="s">
        <v>432</v>
      </c>
      <c r="R131" s="279">
        <v>1.2569999999999999</v>
      </c>
      <c r="X131" s="293">
        <f>1.228*1.0235</f>
        <v>1.256858</v>
      </c>
    </row>
    <row r="132" spans="1:30">
      <c r="A132" s="83"/>
      <c r="B132" s="83"/>
      <c r="E132" s="159"/>
      <c r="F132" s="159"/>
      <c r="G132" s="83"/>
    </row>
    <row r="133" spans="1:30">
      <c r="A133" s="83"/>
      <c r="B133" s="83"/>
      <c r="E133" s="165" t="s">
        <v>363</v>
      </c>
      <c r="F133" s="166"/>
      <c r="G133" s="83"/>
      <c r="H133" s="160"/>
      <c r="J133" s="83"/>
      <c r="K133" s="83"/>
      <c r="L133" s="83"/>
      <c r="M133" s="162"/>
      <c r="N133" s="162"/>
      <c r="X133" s="298"/>
      <c r="Y133" s="301"/>
      <c r="Z133" s="233"/>
      <c r="AA133" s="233"/>
      <c r="AB133" s="233"/>
    </row>
    <row r="134" spans="1:30">
      <c r="A134" s="83"/>
      <c r="B134" s="83"/>
      <c r="E134" s="165" t="s">
        <v>181</v>
      </c>
      <c r="F134" s="165"/>
      <c r="G134" s="83"/>
      <c r="H134" s="160"/>
      <c r="J134" s="83"/>
      <c r="K134" s="83"/>
      <c r="L134" s="83"/>
      <c r="M134" s="162"/>
      <c r="N134" s="162"/>
      <c r="X134" s="298"/>
      <c r="Y134" s="301"/>
      <c r="Z134" s="233"/>
      <c r="AA134" s="233"/>
      <c r="AB134" s="233"/>
      <c r="AC134" s="233"/>
    </row>
    <row r="135" spans="1:30" ht="26.25">
      <c r="A135" s="167"/>
      <c r="B135" s="167"/>
      <c r="E135" s="166"/>
      <c r="F135" s="168" t="s">
        <v>182</v>
      </c>
      <c r="G135" s="241" t="s">
        <v>183</v>
      </c>
      <c r="H135" s="167"/>
      <c r="J135" s="83"/>
      <c r="K135" s="83"/>
      <c r="L135" s="83"/>
      <c r="M135" s="162"/>
      <c r="N135" s="162"/>
      <c r="Q135" s="292"/>
      <c r="R135" s="292"/>
      <c r="X135" s="298"/>
      <c r="Y135" s="301"/>
      <c r="Z135" s="233"/>
      <c r="AA135" s="233"/>
      <c r="AB135" s="233"/>
      <c r="AC135" s="233"/>
    </row>
    <row r="136" spans="1:30">
      <c r="A136" s="167"/>
      <c r="B136" s="167"/>
      <c r="E136" s="167"/>
      <c r="F136" s="162" t="s">
        <v>154</v>
      </c>
      <c r="G136" s="162" t="s">
        <v>184</v>
      </c>
      <c r="H136" s="167"/>
      <c r="J136" s="83"/>
      <c r="K136" s="83"/>
      <c r="L136" s="83"/>
      <c r="M136" s="162"/>
      <c r="N136" s="162"/>
      <c r="O136" s="167"/>
      <c r="P136" s="292"/>
      <c r="S136" s="292"/>
      <c r="T136" s="292"/>
      <c r="U136" s="292"/>
      <c r="V136" s="292"/>
      <c r="X136" s="292"/>
      <c r="Y136" s="301"/>
      <c r="Z136" s="233"/>
      <c r="AA136" s="233"/>
      <c r="AB136" s="233"/>
      <c r="AC136" s="233"/>
      <c r="AD136" s="233"/>
    </row>
    <row r="137" spans="1:30">
      <c r="A137" s="167"/>
      <c r="B137" s="167"/>
      <c r="E137" s="163"/>
      <c r="F137" s="162" t="s">
        <v>156</v>
      </c>
      <c r="G137" s="162" t="s">
        <v>185</v>
      </c>
      <c r="H137" s="167"/>
      <c r="J137" s="83"/>
      <c r="K137" s="83"/>
      <c r="L137" s="83"/>
      <c r="M137" s="162"/>
      <c r="N137" s="162"/>
      <c r="X137" s="292"/>
      <c r="Y137" s="301"/>
      <c r="AC137" s="233"/>
      <c r="AD137" s="233"/>
    </row>
    <row r="138" spans="1:30" s="233" customFormat="1">
      <c r="D138" s="209"/>
      <c r="E138" s="167"/>
      <c r="F138" s="162" t="s">
        <v>158</v>
      </c>
      <c r="G138" s="162" t="s">
        <v>186</v>
      </c>
      <c r="I138" s="167"/>
      <c r="J138" s="83"/>
      <c r="K138" s="83"/>
      <c r="L138" s="83"/>
      <c r="M138" s="162"/>
      <c r="N138" s="162"/>
      <c r="O138" s="159"/>
      <c r="P138" s="279"/>
      <c r="Q138" s="279"/>
      <c r="R138" s="279"/>
      <c r="S138" s="279"/>
      <c r="T138" s="279"/>
      <c r="U138" s="279"/>
      <c r="V138" s="279"/>
      <c r="W138" s="279"/>
      <c r="X138" s="302"/>
      <c r="Y138" s="294"/>
      <c r="Z138" s="167"/>
      <c r="AA138" s="167"/>
      <c r="AB138" s="167"/>
    </row>
    <row r="139" spans="1:30" s="233" customFormat="1">
      <c r="D139" s="209"/>
      <c r="O139" s="159"/>
      <c r="P139" s="279"/>
      <c r="Q139" s="279"/>
      <c r="R139" s="279"/>
      <c r="S139" s="279"/>
      <c r="T139" s="279"/>
      <c r="U139" s="279"/>
      <c r="V139" s="279"/>
      <c r="W139" s="279"/>
      <c r="X139" s="302"/>
      <c r="Y139" s="294"/>
      <c r="Z139" s="167"/>
      <c r="AA139" s="167"/>
      <c r="AB139" s="167"/>
      <c r="AC139" s="167"/>
    </row>
    <row r="140" spans="1:30" s="233" customFormat="1">
      <c r="A140" s="162"/>
      <c r="B140" s="162"/>
      <c r="D140" s="159"/>
      <c r="E140" s="210"/>
      <c r="F140" s="210"/>
      <c r="G140" s="162"/>
      <c r="H140" s="211"/>
      <c r="I140" s="167"/>
      <c r="J140" s="159"/>
      <c r="K140" s="159"/>
      <c r="L140" s="159"/>
      <c r="M140" s="159"/>
      <c r="N140" s="159"/>
      <c r="O140" s="159"/>
      <c r="P140" s="279"/>
      <c r="Q140" s="279"/>
      <c r="R140" s="279"/>
      <c r="S140" s="279"/>
      <c r="T140" s="279"/>
      <c r="U140" s="279"/>
      <c r="V140" s="279"/>
      <c r="W140" s="279"/>
      <c r="X140" s="293"/>
      <c r="Y140" s="294"/>
      <c r="Z140" s="167"/>
      <c r="AA140" s="167"/>
      <c r="AB140" s="167"/>
      <c r="AC140" s="167"/>
      <c r="AD140" s="167"/>
    </row>
    <row r="141" spans="1:30" s="233" customFormat="1">
      <c r="A141" s="159"/>
      <c r="B141" s="159"/>
      <c r="D141" s="159"/>
      <c r="E141" s="264" t="s">
        <v>364</v>
      </c>
      <c r="F141" s="210"/>
      <c r="G141" s="159"/>
      <c r="H141" s="211"/>
      <c r="I141" s="167"/>
      <c r="J141" s="159"/>
      <c r="K141" s="159"/>
      <c r="L141" s="159"/>
      <c r="M141" s="159"/>
      <c r="N141" s="159"/>
      <c r="O141" s="159"/>
      <c r="P141" s="279"/>
      <c r="Q141" s="279"/>
      <c r="R141" s="279"/>
      <c r="S141" s="279"/>
      <c r="T141" s="279"/>
      <c r="U141" s="279"/>
      <c r="V141" s="279"/>
      <c r="W141" s="279"/>
      <c r="X141" s="293"/>
      <c r="Y141" s="294"/>
      <c r="Z141" s="167"/>
      <c r="AA141" s="167"/>
      <c r="AB141" s="167"/>
      <c r="AC141" s="167"/>
      <c r="AD141" s="167"/>
    </row>
    <row r="142" spans="1:30" s="233" customFormat="1">
      <c r="A142" s="159"/>
      <c r="B142" s="159"/>
      <c r="D142" s="159"/>
      <c r="E142" s="265" t="s">
        <v>433</v>
      </c>
      <c r="F142" s="210"/>
      <c r="G142" s="159"/>
      <c r="H142" s="211"/>
      <c r="I142" s="167"/>
      <c r="J142" s="159"/>
      <c r="K142" s="159"/>
      <c r="L142" s="159"/>
      <c r="M142" s="159"/>
      <c r="N142" s="159"/>
      <c r="O142" s="159"/>
      <c r="P142" s="279"/>
      <c r="Q142" s="279"/>
      <c r="R142" s="279"/>
      <c r="S142" s="279"/>
      <c r="T142" s="279"/>
      <c r="U142" s="279"/>
      <c r="V142" s="279"/>
      <c r="W142" s="279"/>
      <c r="X142" s="293"/>
      <c r="Y142" s="294"/>
      <c r="Z142" s="167"/>
      <c r="AA142" s="167"/>
      <c r="AB142" s="167"/>
      <c r="AC142" s="167"/>
      <c r="AD142" s="167"/>
    </row>
    <row r="143" spans="1:30">
      <c r="E143" s="210" t="s">
        <v>366</v>
      </c>
    </row>
    <row r="144" spans="1:30">
      <c r="E144" s="159"/>
    </row>
    <row r="145" spans="5:5">
      <c r="E145" s="265" t="s">
        <v>434</v>
      </c>
    </row>
    <row r="146" spans="5:5">
      <c r="E146" s="265" t="s">
        <v>368</v>
      </c>
    </row>
    <row r="147" spans="5:5">
      <c r="E147" s="159"/>
    </row>
    <row r="148" spans="5:5">
      <c r="E148" s="265" t="s">
        <v>369</v>
      </c>
    </row>
    <row r="149" spans="5:5">
      <c r="E149" s="210" t="s">
        <v>370</v>
      </c>
    </row>
  </sheetData>
  <pageMargins left="0.25" right="0.25" top="0.75" bottom="0.75" header="0.3" footer="0.3"/>
  <pageSetup scale="98" orientation="landscape" r:id="rId1"/>
  <headerFooter alignWithMargins="0"/>
  <rowBreaks count="1" manualBreakCount="1">
    <brk id="8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CE6DD-516E-485A-89E9-CF1A17B1CA1D}">
  <sheetPr codeName="Sheet5"/>
  <dimension ref="A1:AR149"/>
  <sheetViews>
    <sheetView topLeftCell="L28" zoomScaleNormal="100" workbookViewId="0">
      <selection activeCell="H125" sqref="H125"/>
    </sheetView>
  </sheetViews>
  <sheetFormatPr defaultColWidth="9.140625" defaultRowHeight="15"/>
  <cols>
    <col min="1" max="1" width="10" style="159" bestFit="1" customWidth="1"/>
    <col min="2" max="2" width="13.5703125" style="159" hidden="1" customWidth="1"/>
    <col min="3" max="3" width="7" style="167" customWidth="1"/>
    <col min="4" max="4" width="9" style="159" customWidth="1"/>
    <col min="5" max="5" width="16.28515625" style="210" customWidth="1"/>
    <col min="6" max="6" width="9.85546875" style="210" customWidth="1"/>
    <col min="7" max="7" width="9.28515625" style="159" bestFit="1" customWidth="1"/>
    <col min="8" max="8" width="60" style="211" customWidth="1"/>
    <col min="9" max="9" width="13.140625" style="167" customWidth="1"/>
    <col min="10" max="14" width="13.140625" style="159" customWidth="1"/>
    <col min="15" max="15" width="7.5703125" style="159" bestFit="1" customWidth="1"/>
    <col min="16" max="16" width="9.5703125" style="279" bestFit="1" customWidth="1"/>
    <col min="17" max="17" width="57.85546875" style="279" bestFit="1" customWidth="1"/>
    <col min="18" max="18" width="12.140625" style="279" bestFit="1" customWidth="1"/>
    <col min="19" max="23" width="7.5703125" style="279" bestFit="1" customWidth="1"/>
    <col min="24" max="24" width="7.5703125" style="293" bestFit="1" customWidth="1"/>
    <col min="25" max="25" width="6.5703125" style="294" bestFit="1" customWidth="1"/>
    <col min="26" max="33" width="8.42578125" style="167" customWidth="1"/>
    <col min="34" max="16384" width="9.140625" style="167"/>
  </cols>
  <sheetData>
    <row r="1" spans="1:27">
      <c r="A1" s="209" t="s">
        <v>316</v>
      </c>
      <c r="O1" s="167"/>
      <c r="P1" s="292"/>
      <c r="Q1" s="292"/>
      <c r="R1" s="279" t="s">
        <v>371</v>
      </c>
      <c r="S1" s="279">
        <v>1.0235000000000001</v>
      </c>
    </row>
    <row r="2" spans="1:27">
      <c r="A2" s="212" t="s">
        <v>0</v>
      </c>
      <c r="B2" s="162"/>
      <c r="D2" s="167"/>
      <c r="E2" s="159"/>
      <c r="F2" s="211"/>
      <c r="G2" s="162"/>
      <c r="H2" s="162"/>
      <c r="I2" s="162"/>
      <c r="J2" s="162"/>
      <c r="K2" s="162"/>
    </row>
    <row r="3" spans="1:27">
      <c r="A3" s="212" t="s">
        <v>372</v>
      </c>
      <c r="B3" s="213"/>
      <c r="D3" s="167"/>
      <c r="E3" s="209"/>
      <c r="F3" s="211"/>
      <c r="G3" s="213"/>
      <c r="H3" s="213"/>
      <c r="I3" s="213"/>
      <c r="J3" s="213"/>
      <c r="K3" s="213"/>
    </row>
    <row r="4" spans="1:27">
      <c r="A4" s="159" t="s">
        <v>318</v>
      </c>
      <c r="D4" s="167"/>
    </row>
    <row r="5" spans="1:27" ht="30">
      <c r="A5" s="215" t="s">
        <v>373</v>
      </c>
      <c r="B5" s="216" t="s">
        <v>5</v>
      </c>
      <c r="C5" s="216" t="s">
        <v>2</v>
      </c>
      <c r="D5" s="216" t="s">
        <v>374</v>
      </c>
      <c r="E5" s="216" t="s">
        <v>375</v>
      </c>
      <c r="F5" s="215" t="s">
        <v>376</v>
      </c>
      <c r="G5" s="216" t="s">
        <v>7</v>
      </c>
      <c r="H5" s="217" t="s">
        <v>8</v>
      </c>
      <c r="I5" s="213" t="s">
        <v>9</v>
      </c>
      <c r="J5" s="213" t="s">
        <v>10</v>
      </c>
      <c r="K5" s="213" t="s">
        <v>11</v>
      </c>
      <c r="L5" s="213" t="s">
        <v>12</v>
      </c>
      <c r="M5" s="213" t="s">
        <v>13</v>
      </c>
      <c r="N5" s="213" t="s">
        <v>14</v>
      </c>
      <c r="O5" s="213" t="s">
        <v>15</v>
      </c>
      <c r="P5" s="281" t="s">
        <v>7</v>
      </c>
      <c r="Q5" s="282" t="s">
        <v>8</v>
      </c>
      <c r="R5" s="283" t="s">
        <v>9</v>
      </c>
      <c r="S5" s="283" t="s">
        <v>10</v>
      </c>
      <c r="T5" s="283" t="s">
        <v>11</v>
      </c>
      <c r="U5" s="283" t="s">
        <v>12</v>
      </c>
      <c r="V5" s="283" t="s">
        <v>13</v>
      </c>
      <c r="W5" s="283" t="s">
        <v>14</v>
      </c>
      <c r="X5" s="283" t="s">
        <v>15</v>
      </c>
    </row>
    <row r="6" spans="1:27">
      <c r="A6" s="219">
        <v>15</v>
      </c>
      <c r="B6" s="219">
        <v>15</v>
      </c>
      <c r="C6" s="162">
        <v>228</v>
      </c>
      <c r="D6" s="162">
        <v>5</v>
      </c>
      <c r="E6" s="162" t="s">
        <v>17</v>
      </c>
      <c r="F6" s="162" t="s">
        <v>18</v>
      </c>
      <c r="G6" s="162" t="s">
        <v>45</v>
      </c>
      <c r="H6" s="211" t="s">
        <v>46</v>
      </c>
      <c r="I6" s="269">
        <f t="shared" ref="I6:I14" si="0">((VLOOKUP($G6,Year2018,3,0)+1.58)*1.0235)-1.74</f>
        <v>29.044280309999998</v>
      </c>
      <c r="J6" s="269"/>
      <c r="K6" s="269"/>
      <c r="L6" s="269"/>
      <c r="M6" s="269"/>
      <c r="N6" s="269"/>
      <c r="O6" s="269"/>
      <c r="P6" s="279" t="str">
        <f>G6</f>
        <v>00500C</v>
      </c>
      <c r="Q6" s="279" t="str">
        <f>H6</f>
        <v>Asphalt Raker</v>
      </c>
      <c r="R6" s="284">
        <f>I6</f>
        <v>29.044280309999998</v>
      </c>
      <c r="S6" s="284"/>
      <c r="T6" s="284"/>
      <c r="U6" s="284"/>
      <c r="V6" s="284"/>
      <c r="W6" s="284"/>
      <c r="X6" s="284"/>
      <c r="Y6" s="167"/>
      <c r="AA6" s="219"/>
    </row>
    <row r="7" spans="1:27">
      <c r="A7" s="219" t="s">
        <v>319</v>
      </c>
      <c r="B7" s="219" t="s">
        <v>19</v>
      </c>
      <c r="C7" s="162">
        <v>228</v>
      </c>
      <c r="D7" s="162">
        <v>5</v>
      </c>
      <c r="E7" s="162" t="s">
        <v>17</v>
      </c>
      <c r="F7" s="162" t="s">
        <v>18</v>
      </c>
      <c r="G7" s="162" t="s">
        <v>21</v>
      </c>
      <c r="H7" s="211" t="s">
        <v>22</v>
      </c>
      <c r="I7" s="269">
        <f t="shared" si="0"/>
        <v>25.289446170821961</v>
      </c>
      <c r="J7" s="269">
        <f>((VLOOKUP($G7,Year2018,4,0)+1.58)*1.0235)-1.74</f>
        <v>26.083330608098436</v>
      </c>
      <c r="K7" s="269">
        <f>((VLOOKUP($G7,Year2018,5,0)+1.58)*1.0235)-1.74</f>
        <v>26.9010315784932</v>
      </c>
      <c r="L7" s="269">
        <f>((VLOOKUP($G7,Year2018,6,0)+1.58)*1.0235)-1.74</f>
        <v>27.743263577999816</v>
      </c>
      <c r="M7" s="269"/>
      <c r="N7" s="269"/>
      <c r="O7" s="269"/>
      <c r="P7" s="279" t="str">
        <f t="shared" ref="P7:X53" si="1">G7</f>
        <v>00505C</v>
      </c>
      <c r="Q7" s="279" t="str">
        <f t="shared" si="1"/>
        <v>Asphalt Raker Apprentice I (1st 522 hours)</v>
      </c>
      <c r="R7" s="284">
        <f t="shared" si="1"/>
        <v>25.289446170821961</v>
      </c>
      <c r="S7" s="284">
        <f t="shared" si="1"/>
        <v>26.083330608098436</v>
      </c>
      <c r="T7" s="284">
        <f t="shared" si="1"/>
        <v>26.9010315784932</v>
      </c>
      <c r="U7" s="284">
        <f t="shared" si="1"/>
        <v>27.743263577999816</v>
      </c>
      <c r="V7" s="284"/>
      <c r="W7" s="284"/>
      <c r="X7" s="284"/>
      <c r="Y7" s="167"/>
      <c r="AA7" s="219"/>
    </row>
    <row r="8" spans="1:27">
      <c r="A8" s="219" t="s">
        <v>321</v>
      </c>
      <c r="B8" s="219" t="s">
        <v>19</v>
      </c>
      <c r="C8" s="162">
        <v>228</v>
      </c>
      <c r="D8" s="162">
        <v>5</v>
      </c>
      <c r="E8" s="162" t="s">
        <v>17</v>
      </c>
      <c r="F8" s="162" t="s">
        <v>18</v>
      </c>
      <c r="G8" s="162" t="s">
        <v>25</v>
      </c>
      <c r="H8" s="211" t="s">
        <v>26</v>
      </c>
      <c r="I8" s="269">
        <f t="shared" si="0"/>
        <v>25.714124958730331</v>
      </c>
      <c r="J8" s="269">
        <f>((VLOOKUP($G8,Year2018,4,0)+1.58)*1.0235)-1.74</f>
        <v>26.508009396006806</v>
      </c>
      <c r="K8" s="269">
        <f>((VLOOKUP($G8,Year2018,5,0)+1.58)*1.0235)-1.74</f>
        <v>27.325710366401569</v>
      </c>
      <c r="L8" s="269">
        <f>((VLOOKUP($G8,Year2018,6,0)+1.58)*1.0235)-1.74</f>
        <v>28.167942365908178</v>
      </c>
      <c r="M8" s="269"/>
      <c r="N8" s="269"/>
      <c r="O8" s="269"/>
      <c r="P8" s="279" t="str">
        <f t="shared" si="1"/>
        <v>00507C</v>
      </c>
      <c r="Q8" s="279" t="str">
        <f t="shared" si="1"/>
        <v>Asphalt Raker Apprentice II (2nd 522 hours)</v>
      </c>
      <c r="R8" s="284">
        <f t="shared" si="1"/>
        <v>25.714124958730331</v>
      </c>
      <c r="S8" s="284">
        <f t="shared" si="1"/>
        <v>26.508009396006806</v>
      </c>
      <c r="T8" s="284">
        <f t="shared" si="1"/>
        <v>27.325710366401569</v>
      </c>
      <c r="U8" s="284">
        <f t="shared" si="1"/>
        <v>28.167942365908178</v>
      </c>
      <c r="V8" s="284"/>
      <c r="W8" s="284"/>
      <c r="X8" s="284"/>
      <c r="Y8" s="167"/>
      <c r="AA8" s="219"/>
    </row>
    <row r="9" spans="1:27">
      <c r="A9" s="219" t="s">
        <v>47</v>
      </c>
      <c r="B9" s="219" t="s">
        <v>47</v>
      </c>
      <c r="C9" s="162">
        <v>178</v>
      </c>
      <c r="D9" s="162">
        <v>3</v>
      </c>
      <c r="E9" s="162" t="s">
        <v>17</v>
      </c>
      <c r="F9" s="162" t="s">
        <v>18</v>
      </c>
      <c r="G9" s="162" t="s">
        <v>48</v>
      </c>
      <c r="H9" s="211" t="s">
        <v>49</v>
      </c>
      <c r="I9" s="269">
        <f t="shared" si="0"/>
        <v>15.206915809160224</v>
      </c>
      <c r="J9" s="269">
        <f>((VLOOKUP($G9,Year2018,4,0)+1.58)*1.0235)-1.74</f>
        <v>17.713694893319232</v>
      </c>
      <c r="K9" s="269">
        <f>((VLOOKUP($G9,Year2018,5,0)+1.58)*1.0235)-1.74</f>
        <v>18.740220928282348</v>
      </c>
      <c r="L9" s="269">
        <f>((VLOOKUP($G9,Year2018,6,0)+1.58)*1.0235)-1.74</f>
        <v>23.583318118877532</v>
      </c>
      <c r="M9" s="269"/>
      <c r="N9" s="269"/>
      <c r="O9" s="269"/>
      <c r="P9" s="279" t="str">
        <f t="shared" si="1"/>
        <v>01060C</v>
      </c>
      <c r="Q9" s="279" t="str">
        <f t="shared" si="1"/>
        <v>Attendant Impound Lot</v>
      </c>
      <c r="R9" s="284">
        <f t="shared" si="1"/>
        <v>15.206915809160224</v>
      </c>
      <c r="S9" s="284">
        <f t="shared" si="1"/>
        <v>17.713694893319232</v>
      </c>
      <c r="T9" s="284">
        <f t="shared" si="1"/>
        <v>18.740220928282348</v>
      </c>
      <c r="U9" s="284">
        <f t="shared" si="1"/>
        <v>23.583318118877532</v>
      </c>
      <c r="V9" s="284"/>
      <c r="W9" s="284"/>
      <c r="X9" s="284"/>
      <c r="Y9" s="167"/>
      <c r="AA9" s="219"/>
    </row>
    <row r="10" spans="1:27">
      <c r="A10" s="219">
        <v>18</v>
      </c>
      <c r="B10" s="219">
        <v>18</v>
      </c>
      <c r="C10" s="162">
        <v>280</v>
      </c>
      <c r="D10" s="162">
        <v>6</v>
      </c>
      <c r="E10" s="162" t="s">
        <v>17</v>
      </c>
      <c r="F10" s="162" t="s">
        <v>18</v>
      </c>
      <c r="G10" s="162" t="s">
        <v>50</v>
      </c>
      <c r="H10" s="211" t="s">
        <v>51</v>
      </c>
      <c r="I10" s="269">
        <f t="shared" si="0"/>
        <v>32.54843726</v>
      </c>
      <c r="J10" s="269"/>
      <c r="K10" s="269"/>
      <c r="L10" s="269"/>
      <c r="M10" s="269"/>
      <c r="N10" s="269"/>
      <c r="O10" s="269"/>
      <c r="P10" s="279" t="str">
        <f t="shared" si="1"/>
        <v>01570C</v>
      </c>
      <c r="Q10" s="279" t="str">
        <f t="shared" si="1"/>
        <v>Cement Finisher Journeyman</v>
      </c>
      <c r="R10" s="284">
        <f t="shared" si="1"/>
        <v>32.54843726</v>
      </c>
      <c r="S10" s="284"/>
      <c r="T10" s="284"/>
      <c r="U10" s="284"/>
      <c r="V10" s="284"/>
      <c r="W10" s="284"/>
      <c r="X10" s="284"/>
      <c r="Y10" s="167"/>
      <c r="AA10" s="219"/>
    </row>
    <row r="11" spans="1:27">
      <c r="A11" s="219" t="s">
        <v>321</v>
      </c>
      <c r="B11" s="219" t="s">
        <v>19</v>
      </c>
      <c r="C11" s="162">
        <v>280</v>
      </c>
      <c r="D11" s="162">
        <v>6</v>
      </c>
      <c r="E11" s="162" t="s">
        <v>17</v>
      </c>
      <c r="F11" s="162" t="s">
        <v>18</v>
      </c>
      <c r="G11" s="162" t="s">
        <v>31</v>
      </c>
      <c r="H11" s="211" t="s">
        <v>32</v>
      </c>
      <c r="I11" s="269">
        <f t="shared" si="0"/>
        <v>25.714124958730331</v>
      </c>
      <c r="J11" s="269">
        <f>((VLOOKUP($G11,Year2018,4,0)+1.58)*1.0235)-1.74</f>
        <v>26.508009396006806</v>
      </c>
      <c r="K11" s="269">
        <f>((VLOOKUP($G11,Year2018,5,0)+1.58)*1.0235)-1.74</f>
        <v>27.325710366401569</v>
      </c>
      <c r="L11" s="269">
        <f>((VLOOKUP($G11,Year2018,6,0)+1.58)*1.0235)-1.74</f>
        <v>28.167942365908178</v>
      </c>
      <c r="M11" s="269"/>
      <c r="N11" s="269"/>
      <c r="O11" s="269"/>
      <c r="P11" s="279" t="str">
        <f t="shared" si="1"/>
        <v>01585C</v>
      </c>
      <c r="Q11" s="279" t="str">
        <f t="shared" si="1"/>
        <v>Cement Finisher Apprentice I (1st 174 hours)</v>
      </c>
      <c r="R11" s="284">
        <f t="shared" si="1"/>
        <v>25.714124958730331</v>
      </c>
      <c r="S11" s="284">
        <f t="shared" si="1"/>
        <v>26.508009396006806</v>
      </c>
      <c r="T11" s="284">
        <f t="shared" si="1"/>
        <v>27.325710366401569</v>
      </c>
      <c r="U11" s="284">
        <f t="shared" si="1"/>
        <v>28.167942365908178</v>
      </c>
      <c r="V11" s="284"/>
      <c r="W11" s="284"/>
      <c r="X11" s="284"/>
      <c r="Y11" s="167"/>
      <c r="AA11" s="219"/>
    </row>
    <row r="12" spans="1:27">
      <c r="A12" s="219" t="s">
        <v>322</v>
      </c>
      <c r="B12" s="219" t="s">
        <v>19</v>
      </c>
      <c r="C12" s="162">
        <v>280</v>
      </c>
      <c r="D12" s="162">
        <v>6</v>
      </c>
      <c r="E12" s="162" t="s">
        <v>17</v>
      </c>
      <c r="F12" s="162" t="s">
        <v>18</v>
      </c>
      <c r="G12" s="162" t="s">
        <v>35</v>
      </c>
      <c r="H12" s="211" t="s">
        <v>36</v>
      </c>
      <c r="I12" s="269">
        <f t="shared" si="0"/>
        <v>26.078135348366068</v>
      </c>
      <c r="J12" s="269">
        <f>((VLOOKUP($G12,Year2018,4,0)+1.58)*1.0235)-1.74</f>
        <v>26.872019785642546</v>
      </c>
      <c r="K12" s="269">
        <f>((VLOOKUP($G12,Year2018,5,0)+1.58)*1.0235)-1.74</f>
        <v>27.68972075603731</v>
      </c>
      <c r="L12" s="269">
        <f>((VLOOKUP($G12,Year2018,6,0)+1.58)*1.0235)-1.74</f>
        <v>28.531952755543923</v>
      </c>
      <c r="M12" s="269"/>
      <c r="N12" s="269"/>
      <c r="O12" s="269"/>
      <c r="P12" s="279" t="str">
        <f t="shared" si="1"/>
        <v>01586C</v>
      </c>
      <c r="Q12" s="279" t="str">
        <f t="shared" si="1"/>
        <v>Cement Finisher Apprentice II (Next 696 hours)</v>
      </c>
      <c r="R12" s="284">
        <f t="shared" si="1"/>
        <v>26.078135348366068</v>
      </c>
      <c r="S12" s="284">
        <f t="shared" si="1"/>
        <v>26.872019785642546</v>
      </c>
      <c r="T12" s="284">
        <f t="shared" si="1"/>
        <v>27.68972075603731</v>
      </c>
      <c r="U12" s="284">
        <f t="shared" si="1"/>
        <v>28.531952755543923</v>
      </c>
      <c r="V12" s="284"/>
      <c r="W12" s="284"/>
      <c r="X12" s="284"/>
      <c r="Y12" s="167"/>
      <c r="AA12" s="219"/>
    </row>
    <row r="13" spans="1:27">
      <c r="A13" s="219" t="s">
        <v>323</v>
      </c>
      <c r="B13" s="219" t="s">
        <v>19</v>
      </c>
      <c r="C13" s="162">
        <v>280</v>
      </c>
      <c r="D13" s="162">
        <v>6</v>
      </c>
      <c r="E13" s="162" t="s">
        <v>17</v>
      </c>
      <c r="F13" s="162" t="s">
        <v>18</v>
      </c>
      <c r="G13" s="162" t="s">
        <v>39</v>
      </c>
      <c r="H13" s="211" t="s">
        <v>40</v>
      </c>
      <c r="I13" s="269">
        <f t="shared" si="0"/>
        <v>27.230834915545923</v>
      </c>
      <c r="J13" s="269">
        <f>((VLOOKUP($G13,Year2018,4,0)+1.58)*1.0235)-1.74</f>
        <v>28.024719352822402</v>
      </c>
      <c r="K13" s="269">
        <f>((VLOOKUP($G13,Year2018,5,0)+1.58)*1.0235)-1.74</f>
        <v>28.842420323217166</v>
      </c>
      <c r="L13" s="269">
        <f>((VLOOKUP($G13,Year2018,6,0)+1.58)*1.0235)-1.74</f>
        <v>29.684652322723778</v>
      </c>
      <c r="M13" s="269"/>
      <c r="N13" s="269"/>
      <c r="O13" s="269"/>
      <c r="P13" s="279" t="str">
        <f t="shared" si="1"/>
        <v>01587C</v>
      </c>
      <c r="Q13" s="279" t="str">
        <f t="shared" si="1"/>
        <v>Cement Finisher Apprentice III (Next 696 hours)</v>
      </c>
      <c r="R13" s="284">
        <f t="shared" si="1"/>
        <v>27.230834915545923</v>
      </c>
      <c r="S13" s="284">
        <f t="shared" si="1"/>
        <v>28.024719352822402</v>
      </c>
      <c r="T13" s="284">
        <f t="shared" si="1"/>
        <v>28.842420323217166</v>
      </c>
      <c r="U13" s="284">
        <f t="shared" si="1"/>
        <v>29.684652322723778</v>
      </c>
      <c r="V13" s="284"/>
      <c r="W13" s="284"/>
      <c r="X13" s="284"/>
      <c r="Y13" s="167"/>
      <c r="AA13" s="219"/>
    </row>
    <row r="14" spans="1:27">
      <c r="A14" s="219" t="s">
        <v>324</v>
      </c>
      <c r="B14" s="219" t="s">
        <v>19</v>
      </c>
      <c r="C14" s="162">
        <v>280</v>
      </c>
      <c r="D14" s="162">
        <v>6</v>
      </c>
      <c r="E14" s="162" t="s">
        <v>17</v>
      </c>
      <c r="F14" s="162" t="s">
        <v>18</v>
      </c>
      <c r="G14" s="162" t="s">
        <v>42</v>
      </c>
      <c r="H14" s="211" t="s">
        <v>43</v>
      </c>
      <c r="I14" s="269">
        <f t="shared" si="0"/>
        <v>28.140860889635288</v>
      </c>
      <c r="J14" s="269">
        <f>((VLOOKUP($G14,Year2018,4,0)+1.58)*1.0235)-1.74</f>
        <v>28.934745326911766</v>
      </c>
      <c r="K14" s="269">
        <f>((VLOOKUP($G14,Year2018,5,0)+1.58)*1.0235)-1.74</f>
        <v>29.75244629730653</v>
      </c>
      <c r="L14" s="269">
        <f>((VLOOKUP($G14,Year2018,6,0)+1.58)*1.0235)-1.74</f>
        <v>30.594678296813139</v>
      </c>
      <c r="M14" s="269"/>
      <c r="N14" s="269"/>
      <c r="O14" s="269"/>
      <c r="P14" s="279" t="str">
        <f t="shared" si="1"/>
        <v>01588C</v>
      </c>
      <c r="Q14" s="279" t="str">
        <f t="shared" si="1"/>
        <v>Cement Finisher Apprentice IV (Next 696 hours)</v>
      </c>
      <c r="R14" s="284">
        <f t="shared" si="1"/>
        <v>28.140860889635288</v>
      </c>
      <c r="S14" s="284">
        <f t="shared" si="1"/>
        <v>28.934745326911766</v>
      </c>
      <c r="T14" s="284">
        <f t="shared" si="1"/>
        <v>29.75244629730653</v>
      </c>
      <c r="U14" s="284">
        <f t="shared" si="1"/>
        <v>30.594678296813139</v>
      </c>
      <c r="V14" s="284"/>
      <c r="W14" s="284"/>
      <c r="X14" s="284"/>
      <c r="Y14" s="167"/>
      <c r="AA14" s="219"/>
    </row>
    <row r="15" spans="1:27">
      <c r="A15" s="219" t="s">
        <v>332</v>
      </c>
      <c r="B15" s="219"/>
      <c r="C15" s="162">
        <v>273</v>
      </c>
      <c r="D15" s="162">
        <v>6</v>
      </c>
      <c r="E15" s="162" t="s">
        <v>17</v>
      </c>
      <c r="F15" s="162" t="s">
        <v>18</v>
      </c>
      <c r="G15" s="162" t="s">
        <v>377</v>
      </c>
      <c r="H15" s="211" t="s">
        <v>378</v>
      </c>
      <c r="I15" s="269">
        <v>29.567288999999999</v>
      </c>
      <c r="J15" s="269"/>
      <c r="K15" s="269"/>
      <c r="L15" s="269"/>
      <c r="M15" s="269"/>
      <c r="N15" s="269"/>
      <c r="O15" s="269"/>
      <c r="P15" s="279" t="str">
        <f t="shared" si="1"/>
        <v>52921C</v>
      </c>
      <c r="Q15" s="279" t="str">
        <f t="shared" si="1"/>
        <v>Construction Crew Leader</v>
      </c>
      <c r="R15" s="284">
        <f t="shared" si="1"/>
        <v>29.567288999999999</v>
      </c>
      <c r="S15" s="284"/>
      <c r="T15" s="284"/>
      <c r="U15" s="284"/>
      <c r="V15" s="284"/>
      <c r="W15" s="284"/>
      <c r="X15" s="284"/>
      <c r="Y15" s="167"/>
      <c r="AA15" s="219"/>
    </row>
    <row r="16" spans="1:27">
      <c r="A16" s="219" t="s">
        <v>52</v>
      </c>
      <c r="B16" s="219" t="s">
        <v>52</v>
      </c>
      <c r="C16" s="162">
        <v>188</v>
      </c>
      <c r="D16" s="162">
        <v>4</v>
      </c>
      <c r="E16" s="162" t="s">
        <v>17</v>
      </c>
      <c r="F16" s="162" t="s">
        <v>18</v>
      </c>
      <c r="G16" s="162" t="s">
        <v>53</v>
      </c>
      <c r="H16" s="211" t="s">
        <v>54</v>
      </c>
      <c r="I16" s="269">
        <f t="shared" ref="I16:I42" si="2">((VLOOKUP($G16,Year2018,3,0)+1.58)*1.0235)-1.74</f>
        <v>18.349163391153539</v>
      </c>
      <c r="J16" s="269">
        <f t="shared" ref="J16:J21" si="3">((VLOOKUP($G16,Year2018,4,0)+1.58)*1.0235)-1.74</f>
        <v>21.074032255634371</v>
      </c>
      <c r="K16" s="269">
        <f t="shared" ref="K16:K21" si="4">((VLOOKUP($G16,Year2018,5,0)+1.58)*1.0235)-1.74</f>
        <v>25.53108546726909</v>
      </c>
      <c r="L16" s="269"/>
      <c r="M16" s="269"/>
      <c r="N16" s="269"/>
      <c r="O16" s="269"/>
      <c r="P16" s="279" t="str">
        <f t="shared" si="1"/>
        <v>02616C</v>
      </c>
      <c r="Q16" s="279" t="str">
        <f t="shared" si="1"/>
        <v>Constr Maint Labor WU Shop-C</v>
      </c>
      <c r="R16" s="284">
        <f t="shared" si="1"/>
        <v>18.349163391153539</v>
      </c>
      <c r="S16" s="284">
        <f t="shared" si="1"/>
        <v>21.074032255634371</v>
      </c>
      <c r="T16" s="284">
        <f t="shared" si="1"/>
        <v>25.53108546726909</v>
      </c>
      <c r="U16" s="284">
        <f t="shared" si="1"/>
        <v>0</v>
      </c>
      <c r="V16" s="284"/>
      <c r="W16" s="284"/>
      <c r="X16" s="284"/>
      <c r="Y16" s="167"/>
      <c r="AA16" s="219"/>
    </row>
    <row r="17" spans="1:27">
      <c r="A17" s="219" t="s">
        <v>52</v>
      </c>
      <c r="B17" s="219" t="s">
        <v>52</v>
      </c>
      <c r="C17" s="162">
        <v>188</v>
      </c>
      <c r="D17" s="162">
        <v>4</v>
      </c>
      <c r="E17" s="162" t="s">
        <v>17</v>
      </c>
      <c r="F17" s="162" t="s">
        <v>18</v>
      </c>
      <c r="G17" s="162" t="s">
        <v>56</v>
      </c>
      <c r="H17" s="211" t="s">
        <v>57</v>
      </c>
      <c r="I17" s="269">
        <f t="shared" si="2"/>
        <v>18.349163391153539</v>
      </c>
      <c r="J17" s="269">
        <f t="shared" si="3"/>
        <v>21.074032255634371</v>
      </c>
      <c r="K17" s="269">
        <f t="shared" si="4"/>
        <v>25.53108546726909</v>
      </c>
      <c r="L17" s="269"/>
      <c r="M17" s="269"/>
      <c r="N17" s="269"/>
      <c r="O17" s="269"/>
      <c r="P17" s="279" t="str">
        <f t="shared" si="1"/>
        <v>02610C</v>
      </c>
      <c r="Q17" s="279" t="str">
        <f t="shared" si="1"/>
        <v>Construction Maint Laborer</v>
      </c>
      <c r="R17" s="284">
        <f t="shared" si="1"/>
        <v>18.349163391153539</v>
      </c>
      <c r="S17" s="284">
        <f t="shared" si="1"/>
        <v>21.074032255634371</v>
      </c>
      <c r="T17" s="284">
        <f t="shared" si="1"/>
        <v>25.53108546726909</v>
      </c>
      <c r="U17" s="284">
        <f t="shared" si="1"/>
        <v>0</v>
      </c>
      <c r="V17" s="284"/>
      <c r="W17" s="284"/>
      <c r="X17" s="284"/>
      <c r="Y17" s="167"/>
      <c r="AA17" s="219"/>
    </row>
    <row r="18" spans="1:27">
      <c r="A18" s="219" t="s">
        <v>47</v>
      </c>
      <c r="B18" s="219" t="s">
        <v>47</v>
      </c>
      <c r="C18" s="162">
        <v>153</v>
      </c>
      <c r="D18" s="162">
        <v>3</v>
      </c>
      <c r="E18" s="162" t="s">
        <v>17</v>
      </c>
      <c r="F18" s="162" t="s">
        <v>18</v>
      </c>
      <c r="G18" s="162" t="s">
        <v>58</v>
      </c>
      <c r="H18" s="211" t="s">
        <v>59</v>
      </c>
      <c r="I18" s="269">
        <f t="shared" si="2"/>
        <v>15.206915809160224</v>
      </c>
      <c r="J18" s="269">
        <f t="shared" si="3"/>
        <v>17.713694893319232</v>
      </c>
      <c r="K18" s="269">
        <f t="shared" si="4"/>
        <v>18.740220928282348</v>
      </c>
      <c r="L18" s="269">
        <f>((VLOOKUP($G18,Year2018,6,0)+1.58)*1.0235)-1.74</f>
        <v>23.583318118877532</v>
      </c>
      <c r="M18" s="269"/>
      <c r="N18" s="269"/>
      <c r="O18" s="269"/>
      <c r="P18" s="279" t="str">
        <f t="shared" si="1"/>
        <v>05850C</v>
      </c>
      <c r="Q18" s="279" t="str">
        <f t="shared" si="1"/>
        <v>Custodian Property Services</v>
      </c>
      <c r="R18" s="284">
        <f t="shared" si="1"/>
        <v>15.206915809160224</v>
      </c>
      <c r="S18" s="284">
        <f t="shared" si="1"/>
        <v>17.713694893319232</v>
      </c>
      <c r="T18" s="284">
        <f t="shared" si="1"/>
        <v>18.740220928282348</v>
      </c>
      <c r="U18" s="284">
        <f t="shared" si="1"/>
        <v>23.583318118877532</v>
      </c>
      <c r="V18" s="284"/>
      <c r="W18" s="284"/>
      <c r="X18" s="284"/>
      <c r="Y18" s="167"/>
      <c r="AA18" s="219"/>
    </row>
    <row r="19" spans="1:27">
      <c r="A19" s="219" t="s">
        <v>47</v>
      </c>
      <c r="B19" s="219" t="s">
        <v>47</v>
      </c>
      <c r="C19" s="162">
        <v>160</v>
      </c>
      <c r="D19" s="162">
        <v>3</v>
      </c>
      <c r="E19" s="162" t="s">
        <v>17</v>
      </c>
      <c r="F19" s="162" t="s">
        <v>18</v>
      </c>
      <c r="G19" s="162" t="s">
        <v>60</v>
      </c>
      <c r="H19" s="211" t="s">
        <v>61</v>
      </c>
      <c r="I19" s="269">
        <f t="shared" si="2"/>
        <v>15.206915809160224</v>
      </c>
      <c r="J19" s="269">
        <f t="shared" si="3"/>
        <v>17.713694893319232</v>
      </c>
      <c r="K19" s="269">
        <f t="shared" si="4"/>
        <v>18.740220928282348</v>
      </c>
      <c r="L19" s="269">
        <f>((VLOOKUP($G19,Year2018,6,0)+1.58)*1.0235)-1.74</f>
        <v>23.583318118877532</v>
      </c>
      <c r="M19" s="269"/>
      <c r="N19" s="269"/>
      <c r="O19" s="269"/>
      <c r="P19" s="279" t="str">
        <f t="shared" si="1"/>
        <v>02960C</v>
      </c>
      <c r="Q19" s="279" t="str">
        <f t="shared" si="1"/>
        <v>Delivery Worker</v>
      </c>
      <c r="R19" s="284">
        <f t="shared" si="1"/>
        <v>15.206915809160224</v>
      </c>
      <c r="S19" s="284">
        <f t="shared" si="1"/>
        <v>17.713694893319232</v>
      </c>
      <c r="T19" s="284">
        <f t="shared" si="1"/>
        <v>18.740220928282348</v>
      </c>
      <c r="U19" s="284">
        <f t="shared" si="1"/>
        <v>23.583318118877532</v>
      </c>
      <c r="V19" s="284"/>
      <c r="W19" s="284"/>
      <c r="X19" s="284"/>
      <c r="Y19" s="167"/>
      <c r="AA19" s="219"/>
    </row>
    <row r="20" spans="1:27">
      <c r="A20" s="219" t="s">
        <v>62</v>
      </c>
      <c r="B20" s="219" t="s">
        <v>62</v>
      </c>
      <c r="C20" s="162">
        <v>190</v>
      </c>
      <c r="D20" s="162">
        <v>4</v>
      </c>
      <c r="E20" s="162" t="s">
        <v>17</v>
      </c>
      <c r="F20" s="162" t="s">
        <v>18</v>
      </c>
      <c r="G20" s="162" t="s">
        <v>63</v>
      </c>
      <c r="H20" s="211" t="s">
        <v>64</v>
      </c>
      <c r="I20" s="269">
        <f t="shared" si="2"/>
        <v>15.688217393318753</v>
      </c>
      <c r="J20" s="269">
        <f t="shared" si="3"/>
        <v>18.277720187255014</v>
      </c>
      <c r="K20" s="269">
        <f t="shared" si="4"/>
        <v>21.040190737998227</v>
      </c>
      <c r="L20" s="269">
        <f>((VLOOKUP($G20,Year2018,6,0)+1.58)*1.0235)-1.74</f>
        <v>25.425800745734406</v>
      </c>
      <c r="M20" s="269"/>
      <c r="N20" s="269"/>
      <c r="O20" s="269"/>
      <c r="P20" s="279" t="str">
        <f t="shared" si="1"/>
        <v>04170C</v>
      </c>
      <c r="Q20" s="279" t="str">
        <f t="shared" si="1"/>
        <v>Equipment Service Worker</v>
      </c>
      <c r="R20" s="284">
        <f t="shared" si="1"/>
        <v>15.688217393318753</v>
      </c>
      <c r="S20" s="284">
        <f t="shared" si="1"/>
        <v>18.277720187255014</v>
      </c>
      <c r="T20" s="284">
        <f t="shared" si="1"/>
        <v>21.040190737998227</v>
      </c>
      <c r="U20" s="284">
        <f t="shared" si="1"/>
        <v>25.425800745734406</v>
      </c>
      <c r="V20" s="284"/>
      <c r="W20" s="284"/>
      <c r="X20" s="284"/>
      <c r="Y20" s="167"/>
      <c r="AA20" s="219"/>
    </row>
    <row r="21" spans="1:27">
      <c r="A21" s="219" t="s">
        <v>65</v>
      </c>
      <c r="B21" s="219" t="s">
        <v>65</v>
      </c>
      <c r="C21" s="162">
        <v>263</v>
      </c>
      <c r="D21" s="162">
        <v>5</v>
      </c>
      <c r="E21" s="162" t="s">
        <v>17</v>
      </c>
      <c r="F21" s="162" t="s">
        <v>18</v>
      </c>
      <c r="G21" s="162" t="s">
        <v>66</v>
      </c>
      <c r="H21" s="211" t="s">
        <v>67</v>
      </c>
      <c r="I21" s="269">
        <f t="shared" si="2"/>
        <v>24.518346717268852</v>
      </c>
      <c r="J21" s="269">
        <f t="shared" si="3"/>
        <v>25.345583815041316</v>
      </c>
      <c r="K21" s="269">
        <f t="shared" si="4"/>
        <v>26.20164887228162</v>
      </c>
      <c r="L21" s="269">
        <f>((VLOOKUP($G21,Year2018,6,0)+1.58)*1.0235)-1.74</f>
        <v>27.257002866712558</v>
      </c>
      <c r="M21" s="269"/>
      <c r="N21" s="269"/>
      <c r="O21" s="269"/>
      <c r="P21" s="279" t="str">
        <f t="shared" si="1"/>
        <v>05958C</v>
      </c>
      <c r="Q21" s="279" t="str">
        <f t="shared" si="1"/>
        <v>Lead Custodian Property Services</v>
      </c>
      <c r="R21" s="284">
        <f t="shared" si="1"/>
        <v>24.518346717268852</v>
      </c>
      <c r="S21" s="284">
        <f t="shared" si="1"/>
        <v>25.345583815041316</v>
      </c>
      <c r="T21" s="284">
        <f t="shared" si="1"/>
        <v>26.20164887228162</v>
      </c>
      <c r="U21" s="284">
        <f t="shared" si="1"/>
        <v>27.257002866712558</v>
      </c>
      <c r="V21" s="284"/>
      <c r="W21" s="284"/>
      <c r="X21" s="284"/>
      <c r="Y21" s="167"/>
      <c r="AA21" s="219"/>
    </row>
    <row r="22" spans="1:27">
      <c r="A22" s="219">
        <v>11</v>
      </c>
      <c r="B22" s="219">
        <v>11</v>
      </c>
      <c r="C22" s="162">
        <v>205</v>
      </c>
      <c r="D22" s="162">
        <v>4</v>
      </c>
      <c r="E22" s="162" t="s">
        <v>17</v>
      </c>
      <c r="F22" s="162" t="s">
        <v>18</v>
      </c>
      <c r="G22" s="162" t="s">
        <v>68</v>
      </c>
      <c r="H22" s="211" t="s">
        <v>325</v>
      </c>
      <c r="I22" s="269">
        <f t="shared" si="2"/>
        <v>27.847561670142934</v>
      </c>
      <c r="J22" s="269"/>
      <c r="K22" s="269"/>
      <c r="L22" s="269"/>
      <c r="M22" s="269"/>
      <c r="N22" s="269"/>
      <c r="O22" s="269"/>
      <c r="P22" s="279" t="str">
        <f t="shared" si="1"/>
        <v>06030C</v>
      </c>
      <c r="Q22" s="279" t="str">
        <f t="shared" si="1"/>
        <v>Lead Pipe Layer I (Paving Const.)</v>
      </c>
      <c r="R22" s="284">
        <f t="shared" si="1"/>
        <v>27.847561670142934</v>
      </c>
      <c r="S22" s="284"/>
      <c r="T22" s="284"/>
      <c r="U22" s="284"/>
      <c r="V22" s="284"/>
      <c r="W22" s="284"/>
      <c r="X22" s="284"/>
      <c r="Y22" s="167"/>
      <c r="Z22" s="294"/>
      <c r="AA22" s="219"/>
    </row>
    <row r="23" spans="1:27">
      <c r="A23" s="219" t="s">
        <v>319</v>
      </c>
      <c r="B23" s="219" t="s">
        <v>19</v>
      </c>
      <c r="C23" s="162">
        <v>205</v>
      </c>
      <c r="D23" s="162">
        <v>4</v>
      </c>
      <c r="E23" s="162" t="s">
        <v>17</v>
      </c>
      <c r="F23" s="162" t="s">
        <v>18</v>
      </c>
      <c r="G23" s="162" t="s">
        <v>71</v>
      </c>
      <c r="H23" s="223" t="s">
        <v>379</v>
      </c>
      <c r="I23" s="269">
        <f t="shared" si="2"/>
        <v>25.289446170821961</v>
      </c>
      <c r="J23" s="269">
        <f>((VLOOKUP($G23,Year2018,4,0)+1.58)*1.0235)-1.74</f>
        <v>26.083330608098436</v>
      </c>
      <c r="K23" s="269">
        <f>((VLOOKUP($G23,Year2018,5,0)+1.58)*1.0235)-1.74</f>
        <v>26.9010315784932</v>
      </c>
      <c r="L23" s="269">
        <f>((VLOOKUP($G23,Year2018,6,0)+1.58)*1.0235)-1.74</f>
        <v>27.743263577999816</v>
      </c>
      <c r="M23" s="269"/>
      <c r="N23" s="269"/>
      <c r="O23" s="269"/>
      <c r="P23" s="279" t="str">
        <f t="shared" si="1"/>
        <v>06035C</v>
      </c>
      <c r="Q23" s="279" t="str">
        <f t="shared" si="1"/>
        <v>Lead Pipe Layer I (Paving Const.) Apprentice I (1st 522 hours)</v>
      </c>
      <c r="R23" s="284">
        <f t="shared" si="1"/>
        <v>25.289446170821961</v>
      </c>
      <c r="S23" s="284">
        <f t="shared" si="1"/>
        <v>26.083330608098436</v>
      </c>
      <c r="T23" s="284">
        <f t="shared" si="1"/>
        <v>26.9010315784932</v>
      </c>
      <c r="U23" s="284">
        <f t="shared" si="1"/>
        <v>27.743263577999816</v>
      </c>
      <c r="V23" s="284"/>
      <c r="W23" s="284"/>
      <c r="X23" s="284"/>
      <c r="Y23" s="167"/>
      <c r="AA23" s="219"/>
    </row>
    <row r="24" spans="1:27">
      <c r="A24" s="219" t="s">
        <v>321</v>
      </c>
      <c r="B24" s="219" t="s">
        <v>19</v>
      </c>
      <c r="C24" s="162">
        <v>205</v>
      </c>
      <c r="D24" s="162">
        <v>4</v>
      </c>
      <c r="E24" s="162" t="s">
        <v>17</v>
      </c>
      <c r="F24" s="162" t="s">
        <v>18</v>
      </c>
      <c r="G24" s="162" t="s">
        <v>74</v>
      </c>
      <c r="H24" s="223" t="s">
        <v>326</v>
      </c>
      <c r="I24" s="269">
        <f t="shared" si="2"/>
        <v>25.714124958730331</v>
      </c>
      <c r="J24" s="269">
        <f>((VLOOKUP($G24,Year2018,4,0)+1.58)*1.0235)-1.74</f>
        <v>26.508009396006806</v>
      </c>
      <c r="K24" s="269">
        <f>((VLOOKUP($G24,Year2018,5,0)+1.58)*1.0235)-1.74</f>
        <v>27.325710366401569</v>
      </c>
      <c r="L24" s="269">
        <f>((VLOOKUP($G24,Year2018,6,0)+1.58)*1.0235)-1.74</f>
        <v>28.167942365908178</v>
      </c>
      <c r="M24" s="269"/>
      <c r="N24" s="269"/>
      <c r="O24" s="269"/>
      <c r="P24" s="279" t="str">
        <f t="shared" si="1"/>
        <v>06037C</v>
      </c>
      <c r="Q24" s="279" t="str">
        <f t="shared" si="1"/>
        <v>Lead Pipe Layer I (Paving Const.) Apprentice II (2nd 522 hours)</v>
      </c>
      <c r="R24" s="284">
        <f t="shared" si="1"/>
        <v>25.714124958730331</v>
      </c>
      <c r="S24" s="284">
        <f t="shared" si="1"/>
        <v>26.508009396006806</v>
      </c>
      <c r="T24" s="284">
        <f t="shared" si="1"/>
        <v>27.325710366401569</v>
      </c>
      <c r="U24" s="284">
        <f t="shared" si="1"/>
        <v>28.167942365908178</v>
      </c>
      <c r="V24" s="284"/>
      <c r="W24" s="284"/>
      <c r="X24" s="284"/>
      <c r="Y24" s="167"/>
      <c r="AA24" s="219"/>
    </row>
    <row r="25" spans="1:27">
      <c r="A25" s="219" t="s">
        <v>76</v>
      </c>
      <c r="B25" s="219" t="s">
        <v>76</v>
      </c>
      <c r="C25" s="162">
        <v>205</v>
      </c>
      <c r="D25" s="162">
        <v>4</v>
      </c>
      <c r="E25" s="162" t="s">
        <v>17</v>
      </c>
      <c r="F25" s="162" t="s">
        <v>18</v>
      </c>
      <c r="G25" s="162" t="s">
        <v>77</v>
      </c>
      <c r="H25" s="211" t="s">
        <v>327</v>
      </c>
      <c r="I25" s="269">
        <f t="shared" si="2"/>
        <v>28.133864957103924</v>
      </c>
      <c r="J25" s="269"/>
      <c r="K25" s="269"/>
      <c r="L25" s="269"/>
      <c r="M25" s="269"/>
      <c r="N25" s="269"/>
      <c r="O25" s="269"/>
      <c r="P25" s="279" t="str">
        <f t="shared" si="1"/>
        <v>06050C</v>
      </c>
      <c r="Q25" s="279" t="str">
        <f t="shared" si="1"/>
        <v>Lead Pipe Layer II (Water Const.)</v>
      </c>
      <c r="R25" s="284">
        <f t="shared" si="1"/>
        <v>28.133864957103924</v>
      </c>
      <c r="S25" s="284"/>
      <c r="T25" s="284"/>
      <c r="U25" s="284"/>
      <c r="V25" s="284"/>
      <c r="W25" s="284"/>
      <c r="X25" s="284"/>
      <c r="Y25" s="167"/>
      <c r="Z25" s="294"/>
      <c r="AA25" s="219"/>
    </row>
    <row r="26" spans="1:27">
      <c r="A26" s="219" t="s">
        <v>319</v>
      </c>
      <c r="B26" s="219" t="s">
        <v>19</v>
      </c>
      <c r="C26" s="162">
        <v>205</v>
      </c>
      <c r="D26" s="162">
        <v>4</v>
      </c>
      <c r="E26" s="162" t="s">
        <v>17</v>
      </c>
      <c r="F26" s="162" t="s">
        <v>18</v>
      </c>
      <c r="G26" s="162" t="s">
        <v>80</v>
      </c>
      <c r="H26" s="223" t="s">
        <v>328</v>
      </c>
      <c r="I26" s="269">
        <f t="shared" si="2"/>
        <v>25.289446170821961</v>
      </c>
      <c r="J26" s="269">
        <f>((VLOOKUP($G26,Year2018,4,0)+1.58)*1.0235)-1.74</f>
        <v>26.083330608098436</v>
      </c>
      <c r="K26" s="269">
        <f>((VLOOKUP($G26,Year2018,5,0)+1.58)*1.0235)-1.74</f>
        <v>26.9010315784932</v>
      </c>
      <c r="L26" s="269">
        <f>((VLOOKUP($G26,Year2018,6,0)+1.58)*1.0235)-1.74</f>
        <v>27.743263577999816</v>
      </c>
      <c r="M26" s="269"/>
      <c r="N26" s="269"/>
      <c r="O26" s="269"/>
      <c r="P26" s="279" t="str">
        <f t="shared" si="1"/>
        <v>06056C</v>
      </c>
      <c r="Q26" s="279" t="str">
        <f t="shared" si="1"/>
        <v>Lead Pipe Layer II (Water Const.) Apprentice I (1st 522 hours)</v>
      </c>
      <c r="R26" s="284">
        <f t="shared" si="1"/>
        <v>25.289446170821961</v>
      </c>
      <c r="S26" s="284">
        <f t="shared" si="1"/>
        <v>26.083330608098436</v>
      </c>
      <c r="T26" s="284">
        <f t="shared" si="1"/>
        <v>26.9010315784932</v>
      </c>
      <c r="U26" s="284">
        <f t="shared" si="1"/>
        <v>27.743263577999816</v>
      </c>
      <c r="V26" s="284"/>
      <c r="W26" s="284"/>
      <c r="X26" s="284"/>
      <c r="Y26" s="167"/>
      <c r="AA26" s="219"/>
    </row>
    <row r="27" spans="1:27">
      <c r="A27" s="219" t="s">
        <v>321</v>
      </c>
      <c r="B27" s="219" t="s">
        <v>19</v>
      </c>
      <c r="C27" s="162">
        <v>205</v>
      </c>
      <c r="D27" s="162">
        <v>4</v>
      </c>
      <c r="E27" s="162" t="s">
        <v>17</v>
      </c>
      <c r="F27" s="162" t="s">
        <v>18</v>
      </c>
      <c r="G27" s="162" t="s">
        <v>83</v>
      </c>
      <c r="H27" s="223" t="s">
        <v>329</v>
      </c>
      <c r="I27" s="269">
        <f t="shared" si="2"/>
        <v>25.714124958730331</v>
      </c>
      <c r="J27" s="269">
        <f>((VLOOKUP($G27,Year2018,4,0)+1.58)*1.0235)-1.74</f>
        <v>26.508009396006806</v>
      </c>
      <c r="K27" s="269">
        <f>((VLOOKUP($G27,Year2018,5,0)+1.58)*1.0235)-1.74</f>
        <v>27.325710366401569</v>
      </c>
      <c r="L27" s="269">
        <f>((VLOOKUP($G27,Year2018,6,0)+1.58)*1.0235)-1.74</f>
        <v>28.167942365908178</v>
      </c>
      <c r="M27" s="269"/>
      <c r="N27" s="269"/>
      <c r="O27" s="269"/>
      <c r="P27" s="279" t="str">
        <f t="shared" si="1"/>
        <v>06057C</v>
      </c>
      <c r="Q27" s="279" t="str">
        <f t="shared" si="1"/>
        <v>Lead Pipe Layer II (Water Const.) Apprentice II (2nd 522 hours)</v>
      </c>
      <c r="R27" s="284">
        <f t="shared" si="1"/>
        <v>25.714124958730331</v>
      </c>
      <c r="S27" s="284">
        <f t="shared" si="1"/>
        <v>26.508009396006806</v>
      </c>
      <c r="T27" s="284">
        <f t="shared" si="1"/>
        <v>27.325710366401569</v>
      </c>
      <c r="U27" s="284">
        <f t="shared" si="1"/>
        <v>28.167942365908178</v>
      </c>
      <c r="V27" s="284"/>
      <c r="W27" s="284"/>
      <c r="X27" s="284"/>
      <c r="Y27" s="167"/>
      <c r="AA27" s="219"/>
    </row>
    <row r="28" spans="1:27">
      <c r="A28" s="219" t="s">
        <v>330</v>
      </c>
      <c r="B28" s="219" t="s">
        <v>19</v>
      </c>
      <c r="C28" s="162">
        <v>205</v>
      </c>
      <c r="D28" s="162">
        <v>4</v>
      </c>
      <c r="E28" s="162" t="s">
        <v>17</v>
      </c>
      <c r="F28" s="162" t="s">
        <v>18</v>
      </c>
      <c r="G28" s="162" t="s">
        <v>86</v>
      </c>
      <c r="H28" s="223" t="s">
        <v>331</v>
      </c>
      <c r="I28" s="269">
        <f t="shared" si="2"/>
        <v>25.956798551820821</v>
      </c>
      <c r="J28" s="269">
        <f>((VLOOKUP($G28,Year2018,4,0)+1.58)*1.0235)-1.74</f>
        <v>26.750682989097296</v>
      </c>
      <c r="K28" s="269">
        <f>((VLOOKUP($G28,Year2018,5,0)+1.58)*1.0235)-1.74</f>
        <v>27.56838395949206</v>
      </c>
      <c r="L28" s="269">
        <f>((VLOOKUP($G28,Year2018,6,0)+1.58)*1.0235)-1.74</f>
        <v>28.410615958998676</v>
      </c>
      <c r="M28" s="269"/>
      <c r="N28" s="269"/>
      <c r="O28" s="269"/>
      <c r="P28" s="279" t="str">
        <f t="shared" si="1"/>
        <v>06058C</v>
      </c>
      <c r="Q28" s="279" t="str">
        <f t="shared" si="1"/>
        <v>Lead Pipe Layer II (Water Const.) Apprentice III (3rd 522 hours)</v>
      </c>
      <c r="R28" s="284">
        <f t="shared" si="1"/>
        <v>25.956798551820821</v>
      </c>
      <c r="S28" s="284">
        <f t="shared" si="1"/>
        <v>26.750682989097296</v>
      </c>
      <c r="T28" s="284">
        <f t="shared" si="1"/>
        <v>27.56838395949206</v>
      </c>
      <c r="U28" s="284">
        <f t="shared" si="1"/>
        <v>28.410615958998676</v>
      </c>
      <c r="V28" s="284"/>
      <c r="W28" s="284"/>
      <c r="X28" s="284"/>
      <c r="Y28" s="167"/>
      <c r="AA28" s="219"/>
    </row>
    <row r="29" spans="1:27">
      <c r="A29" s="219" t="s">
        <v>332</v>
      </c>
      <c r="B29" s="219" t="s">
        <v>88</v>
      </c>
      <c r="C29" s="162">
        <v>205</v>
      </c>
      <c r="D29" s="162">
        <v>4</v>
      </c>
      <c r="E29" s="162" t="s">
        <v>17</v>
      </c>
      <c r="F29" s="162" t="s">
        <v>18</v>
      </c>
      <c r="G29" s="162" t="s">
        <v>90</v>
      </c>
      <c r="H29" s="223" t="s">
        <v>333</v>
      </c>
      <c r="I29" s="269">
        <f t="shared" si="2"/>
        <v>29.567288810000001</v>
      </c>
      <c r="J29" s="269"/>
      <c r="K29" s="269"/>
      <c r="L29" s="269"/>
      <c r="M29" s="269"/>
      <c r="N29" s="269"/>
      <c r="O29" s="269"/>
      <c r="P29" s="279" t="str">
        <f t="shared" si="1"/>
        <v>06066C</v>
      </c>
      <c r="Q29" s="279" t="str">
        <f t="shared" si="1"/>
        <v>Lead Pipe Layer III (Sewer Const.)</v>
      </c>
      <c r="R29" s="284">
        <f t="shared" si="1"/>
        <v>29.567288810000001</v>
      </c>
      <c r="S29" s="284"/>
      <c r="T29" s="284"/>
      <c r="U29" s="284"/>
      <c r="V29" s="284"/>
      <c r="W29" s="284"/>
      <c r="X29" s="284"/>
      <c r="Y29" s="167"/>
      <c r="AA29" s="219"/>
    </row>
    <row r="30" spans="1:27">
      <c r="A30" s="219" t="s">
        <v>319</v>
      </c>
      <c r="B30" s="219" t="s">
        <v>19</v>
      </c>
      <c r="C30" s="162">
        <v>205</v>
      </c>
      <c r="D30" s="162">
        <v>4</v>
      </c>
      <c r="E30" s="162" t="s">
        <v>17</v>
      </c>
      <c r="F30" s="162" t="s">
        <v>18</v>
      </c>
      <c r="G30" s="162" t="s">
        <v>93</v>
      </c>
      <c r="H30" s="223" t="s">
        <v>334</v>
      </c>
      <c r="I30" s="269">
        <f t="shared" si="2"/>
        <v>25.289446170821961</v>
      </c>
      <c r="J30" s="269">
        <f>((VLOOKUP($G30,Year2018,4,0)+1.58)*1.0235)-1.74</f>
        <v>26.083330608098436</v>
      </c>
      <c r="K30" s="269">
        <f>((VLOOKUP($G30,Year2018,5,0)+1.58)*1.0235)-1.74</f>
        <v>26.9010315784932</v>
      </c>
      <c r="L30" s="269">
        <f>((VLOOKUP($G30,Year2018,6,0)+1.58)*1.0235)-1.74</f>
        <v>27.743263577999816</v>
      </c>
      <c r="M30" s="269"/>
      <c r="N30" s="269"/>
      <c r="O30" s="269"/>
      <c r="P30" s="279" t="str">
        <f t="shared" si="1"/>
        <v>06067C</v>
      </c>
      <c r="Q30" s="279" t="str">
        <f t="shared" si="1"/>
        <v>Lead Pipe Layer III (Sewer Const.) Apprentice I (1st 522 hours)</v>
      </c>
      <c r="R30" s="284">
        <f t="shared" si="1"/>
        <v>25.289446170821961</v>
      </c>
      <c r="S30" s="284">
        <f t="shared" si="1"/>
        <v>26.083330608098436</v>
      </c>
      <c r="T30" s="284">
        <f t="shared" si="1"/>
        <v>26.9010315784932</v>
      </c>
      <c r="U30" s="284">
        <f t="shared" si="1"/>
        <v>27.743263577999816</v>
      </c>
      <c r="V30" s="284"/>
      <c r="W30" s="284"/>
      <c r="X30" s="284"/>
      <c r="Y30" s="167"/>
      <c r="AA30" s="219"/>
    </row>
    <row r="31" spans="1:27">
      <c r="A31" s="219" t="s">
        <v>321</v>
      </c>
      <c r="B31" s="219" t="s">
        <v>19</v>
      </c>
      <c r="C31" s="162">
        <v>205</v>
      </c>
      <c r="D31" s="162">
        <v>4</v>
      </c>
      <c r="E31" s="162" t="s">
        <v>17</v>
      </c>
      <c r="F31" s="162" t="s">
        <v>18</v>
      </c>
      <c r="G31" s="162" t="s">
        <v>96</v>
      </c>
      <c r="H31" s="223" t="s">
        <v>335</v>
      </c>
      <c r="I31" s="269">
        <f t="shared" si="2"/>
        <v>25.714124958730331</v>
      </c>
      <c r="J31" s="269">
        <f>((VLOOKUP($G31,Year2018,4,0)+1.58)*1.0235)-1.74</f>
        <v>26.508009396006806</v>
      </c>
      <c r="K31" s="269">
        <f>((VLOOKUP($G31,Year2018,5,0)+1.58)*1.0235)-1.74</f>
        <v>27.325710366401569</v>
      </c>
      <c r="L31" s="269">
        <f>((VLOOKUP($G31,Year2018,6,0)+1.58)*1.0235)-1.74</f>
        <v>28.167942365908178</v>
      </c>
      <c r="M31" s="269"/>
      <c r="N31" s="269"/>
      <c r="O31" s="269"/>
      <c r="P31" s="279" t="str">
        <f t="shared" si="1"/>
        <v>06068C</v>
      </c>
      <c r="Q31" s="279" t="str">
        <f t="shared" si="1"/>
        <v>Lead Pipe Layer III (Sewer Const.) Apprentice II (2nd 522 hours)</v>
      </c>
      <c r="R31" s="284">
        <f t="shared" si="1"/>
        <v>25.714124958730331</v>
      </c>
      <c r="S31" s="284">
        <f t="shared" si="1"/>
        <v>26.508009396006806</v>
      </c>
      <c r="T31" s="284">
        <f t="shared" si="1"/>
        <v>27.325710366401569</v>
      </c>
      <c r="U31" s="284">
        <f t="shared" si="1"/>
        <v>28.167942365908178</v>
      </c>
      <c r="V31" s="284"/>
      <c r="W31" s="284"/>
      <c r="X31" s="284"/>
      <c r="Y31" s="167"/>
      <c r="AA31" s="219"/>
    </row>
    <row r="32" spans="1:27">
      <c r="A32" s="219" t="s">
        <v>330</v>
      </c>
      <c r="B32" s="219" t="s">
        <v>19</v>
      </c>
      <c r="C32" s="162">
        <v>205</v>
      </c>
      <c r="D32" s="162">
        <v>4</v>
      </c>
      <c r="E32" s="162" t="s">
        <v>17</v>
      </c>
      <c r="F32" s="162" t="s">
        <v>18</v>
      </c>
      <c r="G32" s="162" t="s">
        <v>99</v>
      </c>
      <c r="H32" s="223" t="s">
        <v>336</v>
      </c>
      <c r="I32" s="269">
        <f t="shared" si="2"/>
        <v>25.956798551820821</v>
      </c>
      <c r="J32" s="269">
        <f>((VLOOKUP($G32,Year2018,4,0)+1.58)*1.0235)-1.74</f>
        <v>26.750682989097296</v>
      </c>
      <c r="K32" s="269">
        <f>((VLOOKUP($G32,Year2018,5,0)+1.58)*1.0235)-1.74</f>
        <v>27.56838395949206</v>
      </c>
      <c r="L32" s="269">
        <f>((VLOOKUP($G32,Year2018,6,0)+1.58)*1.0235)-1.74</f>
        <v>28.410615958998676</v>
      </c>
      <c r="M32" s="269"/>
      <c r="N32" s="269"/>
      <c r="O32" s="269"/>
      <c r="P32" s="279" t="str">
        <f t="shared" si="1"/>
        <v>06069C</v>
      </c>
      <c r="Q32" s="279" t="str">
        <f t="shared" si="1"/>
        <v>Lead Pipe Layer III (Sewer Const.) Apprentice III (3rd 522 hours)</v>
      </c>
      <c r="R32" s="284">
        <f t="shared" si="1"/>
        <v>25.956798551820821</v>
      </c>
      <c r="S32" s="284">
        <f t="shared" si="1"/>
        <v>26.750682989097296</v>
      </c>
      <c r="T32" s="284">
        <f t="shared" si="1"/>
        <v>27.56838395949206</v>
      </c>
      <c r="U32" s="284">
        <f t="shared" si="1"/>
        <v>28.410615958998676</v>
      </c>
      <c r="V32" s="284"/>
      <c r="W32" s="284"/>
      <c r="X32" s="284"/>
      <c r="Y32" s="167"/>
      <c r="AA32" s="219"/>
    </row>
    <row r="33" spans="1:40">
      <c r="A33" s="219" t="s">
        <v>332</v>
      </c>
      <c r="B33" s="219">
        <v>19</v>
      </c>
      <c r="C33" s="162">
        <v>273</v>
      </c>
      <c r="D33" s="162">
        <v>6</v>
      </c>
      <c r="E33" s="162" t="s">
        <v>17</v>
      </c>
      <c r="F33" s="162" t="s">
        <v>18</v>
      </c>
      <c r="G33" s="162" t="s">
        <v>101</v>
      </c>
      <c r="H33" s="211" t="s">
        <v>102</v>
      </c>
      <c r="I33" s="269">
        <f t="shared" si="2"/>
        <v>29.567288810000001</v>
      </c>
      <c r="J33" s="269"/>
      <c r="K33" s="269"/>
      <c r="L33" s="269"/>
      <c r="M33" s="269"/>
      <c r="N33" s="269"/>
      <c r="O33" s="269"/>
      <c r="P33" s="279" t="str">
        <f t="shared" si="1"/>
        <v>06462C</v>
      </c>
      <c r="Q33" s="279" t="str">
        <f t="shared" si="1"/>
        <v>Maintenance Crew Ldr - Bridge</v>
      </c>
      <c r="R33" s="284">
        <f t="shared" si="1"/>
        <v>29.567288810000001</v>
      </c>
      <c r="S33" s="284"/>
      <c r="T33" s="284"/>
      <c r="U33" s="284"/>
      <c r="V33" s="284"/>
      <c r="W33" s="284"/>
      <c r="X33" s="284"/>
      <c r="Y33" s="167"/>
      <c r="AA33" s="219"/>
    </row>
    <row r="34" spans="1:40">
      <c r="A34" s="219" t="s">
        <v>332</v>
      </c>
      <c r="B34" s="219" t="s">
        <v>88</v>
      </c>
      <c r="C34" s="162">
        <v>273</v>
      </c>
      <c r="D34" s="162">
        <v>6</v>
      </c>
      <c r="E34" s="162" t="s">
        <v>17</v>
      </c>
      <c r="F34" s="162" t="s">
        <v>18</v>
      </c>
      <c r="G34" s="162" t="s">
        <v>103</v>
      </c>
      <c r="H34" s="211" t="s">
        <v>104</v>
      </c>
      <c r="I34" s="269">
        <f t="shared" si="2"/>
        <v>29.567288810000001</v>
      </c>
      <c r="J34" s="269"/>
      <c r="K34" s="269"/>
      <c r="L34" s="269"/>
      <c r="M34" s="269"/>
      <c r="N34" s="269"/>
      <c r="O34" s="269"/>
      <c r="P34" s="279" t="str">
        <f t="shared" si="1"/>
        <v>06464C</v>
      </c>
      <c r="Q34" s="279" t="str">
        <f t="shared" si="1"/>
        <v>Maintenance Crew Ldr - Sewer</v>
      </c>
      <c r="R34" s="284">
        <f t="shared" si="1"/>
        <v>29.567288810000001</v>
      </c>
      <c r="S34" s="284"/>
      <c r="T34" s="284"/>
      <c r="U34" s="284"/>
      <c r="V34" s="284"/>
      <c r="W34" s="284"/>
      <c r="X34" s="284"/>
      <c r="Y34" s="167"/>
      <c r="AA34" s="219"/>
    </row>
    <row r="35" spans="1:40">
      <c r="A35" s="219" t="s">
        <v>332</v>
      </c>
      <c r="B35" s="219">
        <v>19</v>
      </c>
      <c r="C35" s="162">
        <v>273</v>
      </c>
      <c r="D35" s="162">
        <v>6</v>
      </c>
      <c r="E35" s="162" t="s">
        <v>17</v>
      </c>
      <c r="F35" s="162" t="s">
        <v>18</v>
      </c>
      <c r="G35" s="162" t="s">
        <v>105</v>
      </c>
      <c r="H35" s="211" t="s">
        <v>106</v>
      </c>
      <c r="I35" s="269">
        <f t="shared" si="2"/>
        <v>29.567288810000001</v>
      </c>
      <c r="J35" s="269"/>
      <c r="K35" s="269"/>
      <c r="L35" s="269"/>
      <c r="M35" s="269"/>
      <c r="N35" s="269"/>
      <c r="O35" s="269"/>
      <c r="P35" s="279" t="str">
        <f t="shared" si="1"/>
        <v>06465C</v>
      </c>
      <c r="Q35" s="279" t="str">
        <f t="shared" si="1"/>
        <v>Maintenance Crew Ldr - Sol Waste</v>
      </c>
      <c r="R35" s="284">
        <f t="shared" si="1"/>
        <v>29.567288810000001</v>
      </c>
      <c r="S35" s="284"/>
      <c r="T35" s="284"/>
      <c r="U35" s="284"/>
      <c r="V35" s="284"/>
      <c r="W35" s="284"/>
      <c r="X35" s="284"/>
      <c r="Y35" s="167"/>
      <c r="AA35" s="219"/>
    </row>
    <row r="36" spans="1:40">
      <c r="A36" s="219" t="s">
        <v>332</v>
      </c>
      <c r="B36" s="219">
        <v>19</v>
      </c>
      <c r="C36" s="162">
        <v>273</v>
      </c>
      <c r="D36" s="162">
        <v>6</v>
      </c>
      <c r="E36" s="162" t="s">
        <v>17</v>
      </c>
      <c r="F36" s="162" t="s">
        <v>18</v>
      </c>
      <c r="G36" s="162" t="s">
        <v>107</v>
      </c>
      <c r="H36" s="211" t="s">
        <v>108</v>
      </c>
      <c r="I36" s="269">
        <f t="shared" si="2"/>
        <v>29.567288810000001</v>
      </c>
      <c r="J36" s="269"/>
      <c r="K36" s="269"/>
      <c r="L36" s="269"/>
      <c r="M36" s="269"/>
      <c r="N36" s="269"/>
      <c r="O36" s="269"/>
      <c r="P36" s="279" t="str">
        <f t="shared" si="1"/>
        <v>06466C</v>
      </c>
      <c r="Q36" s="279" t="str">
        <f t="shared" si="1"/>
        <v>Maintenance Crew Ldr - Streets</v>
      </c>
      <c r="R36" s="284">
        <f t="shared" si="1"/>
        <v>29.567288810000001</v>
      </c>
      <c r="S36" s="284"/>
      <c r="T36" s="284"/>
      <c r="U36" s="284"/>
      <c r="V36" s="284"/>
      <c r="W36" s="284"/>
      <c r="X36" s="284"/>
      <c r="Y36" s="167"/>
      <c r="AA36" s="219"/>
    </row>
    <row r="37" spans="1:40">
      <c r="A37" s="219" t="s">
        <v>332</v>
      </c>
      <c r="B37" s="219">
        <v>19</v>
      </c>
      <c r="C37" s="162">
        <v>273</v>
      </c>
      <c r="D37" s="162">
        <v>6</v>
      </c>
      <c r="E37" s="162" t="s">
        <v>17</v>
      </c>
      <c r="F37" s="162" t="s">
        <v>18</v>
      </c>
      <c r="G37" s="162" t="s">
        <v>109</v>
      </c>
      <c r="H37" s="211" t="s">
        <v>110</v>
      </c>
      <c r="I37" s="269">
        <f t="shared" si="2"/>
        <v>29.567288810000001</v>
      </c>
      <c r="J37" s="269"/>
      <c r="K37" s="269"/>
      <c r="L37" s="269"/>
      <c r="M37" s="269"/>
      <c r="N37" s="269"/>
      <c r="O37" s="269"/>
      <c r="P37" s="279" t="str">
        <f t="shared" si="1"/>
        <v>06468C</v>
      </c>
      <c r="Q37" s="279" t="str">
        <f t="shared" si="1"/>
        <v>Maintenance Crew Ldr - Traffic</v>
      </c>
      <c r="R37" s="284">
        <f t="shared" si="1"/>
        <v>29.567288810000001</v>
      </c>
      <c r="S37" s="284"/>
      <c r="T37" s="284"/>
      <c r="U37" s="284"/>
      <c r="V37" s="284"/>
      <c r="W37" s="284"/>
      <c r="X37" s="284"/>
      <c r="Y37" s="167"/>
      <c r="AA37" s="219"/>
    </row>
    <row r="38" spans="1:40">
      <c r="A38" s="219" t="s">
        <v>111</v>
      </c>
      <c r="B38" s="219" t="s">
        <v>111</v>
      </c>
      <c r="C38" s="162">
        <v>238</v>
      </c>
      <c r="D38" s="162">
        <v>5</v>
      </c>
      <c r="E38" s="162" t="s">
        <v>17</v>
      </c>
      <c r="F38" s="162" t="s">
        <v>18</v>
      </c>
      <c r="G38" s="162" t="s">
        <v>112</v>
      </c>
      <c r="H38" s="211" t="s">
        <v>113</v>
      </c>
      <c r="I38" s="269">
        <f t="shared" si="2"/>
        <v>27.56125838318194</v>
      </c>
      <c r="J38" s="269"/>
      <c r="K38" s="269"/>
      <c r="L38" s="269"/>
      <c r="M38" s="269"/>
      <c r="N38" s="269"/>
      <c r="O38" s="269"/>
      <c r="P38" s="279" t="str">
        <f t="shared" si="1"/>
        <v>07440C</v>
      </c>
      <c r="Q38" s="279" t="str">
        <f t="shared" si="1"/>
        <v>Parking Meter Service Worker</v>
      </c>
      <c r="R38" s="284">
        <f t="shared" si="1"/>
        <v>27.56125838318194</v>
      </c>
      <c r="S38" s="284"/>
      <c r="T38" s="284"/>
      <c r="U38" s="284"/>
      <c r="V38" s="284"/>
      <c r="W38" s="284"/>
      <c r="X38" s="284"/>
      <c r="Y38" s="167"/>
      <c r="AA38" s="219"/>
    </row>
    <row r="39" spans="1:40">
      <c r="A39" s="219" t="s">
        <v>114</v>
      </c>
      <c r="B39" s="219" t="s">
        <v>114</v>
      </c>
      <c r="C39" s="162">
        <v>215</v>
      </c>
      <c r="D39" s="162">
        <v>4</v>
      </c>
      <c r="E39" s="162" t="s">
        <v>17</v>
      </c>
      <c r="F39" s="162" t="s">
        <v>18</v>
      </c>
      <c r="G39" s="162" t="s">
        <v>115</v>
      </c>
      <c r="H39" s="211" t="s">
        <v>116</v>
      </c>
      <c r="I39" s="269">
        <f t="shared" si="2"/>
        <v>25.754188805759235</v>
      </c>
      <c r="J39" s="269"/>
      <c r="K39" s="269"/>
      <c r="L39" s="269"/>
      <c r="M39" s="269"/>
      <c r="N39" s="269"/>
      <c r="O39" s="269"/>
      <c r="P39" s="279" t="str">
        <f t="shared" si="1"/>
        <v>07940C</v>
      </c>
      <c r="Q39" s="279" t="str">
        <f t="shared" si="1"/>
        <v>Plant Service Worker</v>
      </c>
      <c r="R39" s="284">
        <f t="shared" si="1"/>
        <v>25.754188805759235</v>
      </c>
      <c r="S39" s="284"/>
      <c r="T39" s="284"/>
      <c r="U39" s="284"/>
      <c r="V39" s="284"/>
      <c r="W39" s="284"/>
      <c r="X39" s="284"/>
      <c r="Y39" s="167"/>
      <c r="AA39" s="219"/>
    </row>
    <row r="40" spans="1:40">
      <c r="A40" s="219" t="s">
        <v>118</v>
      </c>
      <c r="B40" s="219" t="s">
        <v>117</v>
      </c>
      <c r="C40" s="162">
        <v>335</v>
      </c>
      <c r="D40" s="162">
        <v>7</v>
      </c>
      <c r="E40" s="162" t="s">
        <v>17</v>
      </c>
      <c r="F40" s="162" t="s">
        <v>18</v>
      </c>
      <c r="G40" s="162" t="s">
        <v>119</v>
      </c>
      <c r="H40" s="211" t="s">
        <v>120</v>
      </c>
      <c r="I40" s="269">
        <f t="shared" si="2"/>
        <v>25.929712415476999</v>
      </c>
      <c r="J40" s="269">
        <f>((VLOOKUP($G40,Year2018,4,0)+1.58)*1.0235)-1.74</f>
        <v>27.266328000370773</v>
      </c>
      <c r="K40" s="269">
        <f>((VLOOKUP($G40,Year2018,5,0)+1.58)*1.0235)-1.74</f>
        <v>28.602943585264537</v>
      </c>
      <c r="L40" s="269">
        <f>((VLOOKUP($G40,Year2018,6,0)+1.58)*1.0235)-1.74</f>
        <v>29.93498563522283</v>
      </c>
      <c r="M40" s="269">
        <f>((VLOOKUP($G40,Year2018,7,0)+1.58)*1.0235)-1.74</f>
        <v>31.272744603850473</v>
      </c>
      <c r="N40" s="269">
        <f>((VLOOKUP($G40,Year2018,8,0)+1.58)*1.0235)-1.74</f>
        <v>32.61279033994586</v>
      </c>
      <c r="O40" s="269"/>
      <c r="P40" s="279" t="str">
        <f t="shared" si="1"/>
        <v>02621C</v>
      </c>
      <c r="Q40" s="279" t="str">
        <f t="shared" si="1"/>
        <v>Pubic Works Equipment Dispatcher</v>
      </c>
      <c r="R40" s="284">
        <f t="shared" si="1"/>
        <v>25.929712415476999</v>
      </c>
      <c r="S40" s="284">
        <f t="shared" si="1"/>
        <v>27.266328000370773</v>
      </c>
      <c r="T40" s="284">
        <f t="shared" si="1"/>
        <v>28.602943585264537</v>
      </c>
      <c r="U40" s="284">
        <f t="shared" si="1"/>
        <v>29.93498563522283</v>
      </c>
      <c r="V40" s="284">
        <f t="shared" si="1"/>
        <v>31.272744603850473</v>
      </c>
      <c r="W40" s="284">
        <f t="shared" si="1"/>
        <v>32.61279033994586</v>
      </c>
      <c r="X40" s="284">
        <f t="shared" si="1"/>
        <v>0</v>
      </c>
      <c r="Y40" s="167"/>
      <c r="AA40" s="219"/>
    </row>
    <row r="41" spans="1:40">
      <c r="A41" s="219" t="s">
        <v>19</v>
      </c>
      <c r="B41" s="219" t="s">
        <v>19</v>
      </c>
      <c r="C41" s="162">
        <v>230</v>
      </c>
      <c r="D41" s="162">
        <v>5</v>
      </c>
      <c r="E41" s="162" t="s">
        <v>17</v>
      </c>
      <c r="F41" s="162" t="s">
        <v>18</v>
      </c>
      <c r="G41" s="162" t="s">
        <v>121</v>
      </c>
      <c r="H41" s="223" t="s">
        <v>122</v>
      </c>
      <c r="I41" s="269">
        <f t="shared" si="2"/>
        <v>25.107440976004089</v>
      </c>
      <c r="J41" s="269">
        <f>((VLOOKUP($G41,Year2018,4,0)+1.58)*1.0235)-1.74</f>
        <v>25.901325413280563</v>
      </c>
      <c r="K41" s="269">
        <f>((VLOOKUP($G41,Year2018,5,0)+1.58)*1.0235)-1.74</f>
        <v>26.719026383675327</v>
      </c>
      <c r="L41" s="269">
        <f>((VLOOKUP($G41,Year2018,6,0)+1.58)*1.0235)-1.74</f>
        <v>27.56125838318194</v>
      </c>
      <c r="M41" s="269"/>
      <c r="N41" s="269"/>
      <c r="O41" s="269"/>
      <c r="P41" s="279" t="str">
        <f t="shared" si="1"/>
        <v>08568C</v>
      </c>
      <c r="Q41" s="279" t="str">
        <f t="shared" si="1"/>
        <v xml:space="preserve">Public Works Service Worker I </v>
      </c>
      <c r="R41" s="284">
        <f t="shared" si="1"/>
        <v>25.107440976004089</v>
      </c>
      <c r="S41" s="284">
        <f t="shared" si="1"/>
        <v>25.901325413280563</v>
      </c>
      <c r="T41" s="284">
        <f t="shared" si="1"/>
        <v>26.719026383675327</v>
      </c>
      <c r="U41" s="284">
        <f t="shared" si="1"/>
        <v>27.56125838318194</v>
      </c>
      <c r="V41" s="284">
        <f t="shared" si="1"/>
        <v>0</v>
      </c>
      <c r="W41" s="284">
        <f t="shared" si="1"/>
        <v>0</v>
      </c>
      <c r="X41" s="284">
        <f t="shared" si="1"/>
        <v>0</v>
      </c>
      <c r="Y41" s="167"/>
      <c r="AA41" s="219"/>
    </row>
    <row r="42" spans="1:40">
      <c r="A42" s="219" t="s">
        <v>123</v>
      </c>
      <c r="B42" s="219">
        <v>12</v>
      </c>
      <c r="C42" s="162">
        <v>215</v>
      </c>
      <c r="D42" s="162">
        <v>4</v>
      </c>
      <c r="E42" s="162" t="s">
        <v>17</v>
      </c>
      <c r="F42" s="162" t="s">
        <v>18</v>
      </c>
      <c r="G42" s="162" t="s">
        <v>112</v>
      </c>
      <c r="H42" s="211" t="s">
        <v>113</v>
      </c>
      <c r="I42" s="269">
        <f t="shared" si="2"/>
        <v>27.56125838318194</v>
      </c>
      <c r="J42" s="269"/>
      <c r="K42" s="269"/>
      <c r="L42" s="269"/>
      <c r="M42" s="269"/>
      <c r="N42" s="269"/>
      <c r="O42" s="269"/>
      <c r="P42" s="279" t="str">
        <f t="shared" si="1"/>
        <v>07440C</v>
      </c>
      <c r="Q42" s="279" t="str">
        <f t="shared" si="1"/>
        <v>Parking Meter Service Worker</v>
      </c>
      <c r="R42" s="284">
        <f t="shared" si="1"/>
        <v>27.56125838318194</v>
      </c>
      <c r="S42" s="284"/>
      <c r="T42" s="284"/>
      <c r="U42" s="284"/>
      <c r="V42" s="284"/>
      <c r="W42" s="284"/>
      <c r="X42" s="284"/>
      <c r="Y42" s="167"/>
      <c r="AA42" s="219"/>
    </row>
    <row r="43" spans="1:40">
      <c r="A43" s="219" t="s">
        <v>124</v>
      </c>
      <c r="B43" s="219" t="s">
        <v>124</v>
      </c>
      <c r="C43" s="162">
        <v>230</v>
      </c>
      <c r="D43" s="162">
        <v>5</v>
      </c>
      <c r="E43" s="162" t="s">
        <v>17</v>
      </c>
      <c r="F43" s="162" t="s">
        <v>18</v>
      </c>
      <c r="G43" s="162" t="s">
        <v>126</v>
      </c>
      <c r="H43" s="223" t="s">
        <v>127</v>
      </c>
      <c r="I43" s="270" t="s">
        <v>380</v>
      </c>
      <c r="J43" s="271"/>
      <c r="K43" s="270" t="s">
        <v>381</v>
      </c>
      <c r="L43" s="295"/>
      <c r="M43" s="276"/>
      <c r="N43" s="276"/>
      <c r="O43" s="269"/>
      <c r="P43" s="279" t="str">
        <f t="shared" si="1"/>
        <v>08564C</v>
      </c>
      <c r="Q43" s="279" t="str">
        <f t="shared" si="1"/>
        <v xml:space="preserve">Public Works Service Worker I - Trainee </v>
      </c>
      <c r="R43" s="284">
        <f>16.038*1.0235</f>
        <v>16.414893000000003</v>
      </c>
      <c r="S43" s="284">
        <f>17.182*1.0235</f>
        <v>17.585777</v>
      </c>
      <c r="W43" s="293"/>
      <c r="X43" s="292"/>
      <c r="Y43" s="167"/>
    </row>
    <row r="44" spans="1:40">
      <c r="A44" s="219" t="s">
        <v>130</v>
      </c>
      <c r="B44" s="219" t="s">
        <v>130</v>
      </c>
      <c r="C44" s="162">
        <v>318</v>
      </c>
      <c r="D44" s="162">
        <v>7</v>
      </c>
      <c r="E44" s="162" t="s">
        <v>17</v>
      </c>
      <c r="F44" s="162" t="s">
        <v>18</v>
      </c>
      <c r="G44" s="229" t="s">
        <v>131</v>
      </c>
      <c r="H44" s="223" t="s">
        <v>382</v>
      </c>
      <c r="I44" s="269">
        <f t="shared" ref="I44:I49" si="5">((VLOOKUP($G44,Year2018,3,0)+1.58)*1.0235)-1.74</f>
        <v>32.762185000000002</v>
      </c>
      <c r="J44" s="269">
        <f>((VLOOKUP($G44,Year2018,4,0)+1.58)*1.0235)-1.74</f>
        <v>33.652630000000002</v>
      </c>
      <c r="K44" s="269">
        <f>((VLOOKUP($G44,Year2018,5,0)+1.58)*1.0235)-1.74</f>
        <v>34.71707</v>
      </c>
      <c r="L44" s="269"/>
      <c r="M44" s="269"/>
      <c r="N44" s="269"/>
      <c r="O44" s="269"/>
      <c r="P44" s="279" t="str">
        <f t="shared" si="1"/>
        <v>09194C</v>
      </c>
      <c r="Q44" s="279" t="str">
        <f t="shared" si="1"/>
        <v xml:space="preserve">Senior Water Treatment Operator </v>
      </c>
      <c r="R44" s="284">
        <f t="shared" si="1"/>
        <v>32.762185000000002</v>
      </c>
      <c r="S44" s="284">
        <f t="shared" si="1"/>
        <v>33.652630000000002</v>
      </c>
      <c r="T44" s="284">
        <f t="shared" si="1"/>
        <v>34.71707</v>
      </c>
      <c r="U44" s="284"/>
      <c r="V44" s="284"/>
      <c r="W44" s="284"/>
      <c r="X44" s="284"/>
      <c r="Y44" s="167"/>
      <c r="AA44" s="219"/>
    </row>
    <row r="45" spans="1:40">
      <c r="A45" s="219" t="s">
        <v>133</v>
      </c>
      <c r="B45" s="219" t="s">
        <v>133</v>
      </c>
      <c r="C45" s="162">
        <v>310</v>
      </c>
      <c r="D45" s="162">
        <v>6</v>
      </c>
      <c r="E45" s="162" t="s">
        <v>17</v>
      </c>
      <c r="F45" s="162" t="s">
        <v>18</v>
      </c>
      <c r="G45" s="162" t="s">
        <v>134</v>
      </c>
      <c r="H45" s="211" t="s">
        <v>135</v>
      </c>
      <c r="I45" s="269">
        <f t="shared" si="5"/>
        <v>25.844432852788962</v>
      </c>
      <c r="J45" s="269">
        <f>((VLOOKUP($G45,Year2018,4,0)+1.58)*1.0235)-1.74</f>
        <v>27.120383406625894</v>
      </c>
      <c r="K45" s="269">
        <f>((VLOOKUP($G45,Year2018,5,0)+1.58)*1.0235)-1.74</f>
        <v>28.376279727789555</v>
      </c>
      <c r="L45" s="269">
        <f>((VLOOKUP($G45,Year2018,6,0)+1.58)*1.0235)-1.74</f>
        <v>29.724926875067105</v>
      </c>
      <c r="M45" s="269"/>
      <c r="N45" s="269"/>
      <c r="O45" s="269"/>
      <c r="P45" s="279" t="str">
        <f t="shared" si="1"/>
        <v>09184C</v>
      </c>
      <c r="Q45" s="279" t="str">
        <f t="shared" si="1"/>
        <v>Sewer Pumping Station Operator</v>
      </c>
      <c r="R45" s="284">
        <f t="shared" si="1"/>
        <v>25.844432852788962</v>
      </c>
      <c r="S45" s="284">
        <f t="shared" si="1"/>
        <v>27.120383406625894</v>
      </c>
      <c r="T45" s="284">
        <f t="shared" si="1"/>
        <v>28.376279727789555</v>
      </c>
      <c r="U45" s="284">
        <f t="shared" si="1"/>
        <v>29.724926875067105</v>
      </c>
      <c r="V45" s="284"/>
      <c r="W45" s="284"/>
      <c r="X45" s="284"/>
      <c r="Y45" s="167"/>
      <c r="AA45" s="219"/>
    </row>
    <row r="46" spans="1:40">
      <c r="A46" s="219" t="s">
        <v>111</v>
      </c>
      <c r="B46" s="219">
        <v>16</v>
      </c>
      <c r="C46" s="162">
        <v>258</v>
      </c>
      <c r="D46" s="162">
        <v>5</v>
      </c>
      <c r="E46" s="162" t="s">
        <v>17</v>
      </c>
      <c r="F46" s="162" t="s">
        <v>18</v>
      </c>
      <c r="G46" s="162" t="s">
        <v>136</v>
      </c>
      <c r="H46" s="211" t="s">
        <v>137</v>
      </c>
      <c r="I46" s="269">
        <f t="shared" si="5"/>
        <v>27.56125838318194</v>
      </c>
      <c r="J46" s="269"/>
      <c r="K46" s="269"/>
      <c r="L46" s="269"/>
      <c r="M46" s="269"/>
      <c r="N46" s="269"/>
      <c r="O46" s="269"/>
      <c r="P46" s="279" t="str">
        <f t="shared" si="1"/>
        <v>09220C</v>
      </c>
      <c r="Q46" s="279" t="str">
        <f t="shared" si="1"/>
        <v>Shop Repair Worker I</v>
      </c>
      <c r="R46" s="284">
        <f t="shared" si="1"/>
        <v>27.56125838318194</v>
      </c>
      <c r="S46" s="284"/>
      <c r="T46" s="284"/>
      <c r="U46" s="284"/>
      <c r="V46" s="284"/>
      <c r="W46" s="284"/>
      <c r="X46" s="284"/>
      <c r="Y46" s="167"/>
      <c r="AA46" s="219"/>
    </row>
    <row r="47" spans="1:40">
      <c r="A47" s="219" t="s">
        <v>308</v>
      </c>
      <c r="B47" s="219">
        <v>17</v>
      </c>
      <c r="C47" s="162">
        <v>295</v>
      </c>
      <c r="D47" s="162">
        <v>6</v>
      </c>
      <c r="E47" s="162" t="s">
        <v>17</v>
      </c>
      <c r="F47" s="162" t="s">
        <v>18</v>
      </c>
      <c r="G47" s="162" t="s">
        <v>138</v>
      </c>
      <c r="H47" s="211" t="s">
        <v>139</v>
      </c>
      <c r="I47" s="269">
        <f t="shared" si="5"/>
        <v>29.239865122282328</v>
      </c>
      <c r="J47" s="269">
        <f>((VLOOKUP($G47,Year2018,4,0)+1.58)*1.0235)-1.74</f>
        <v>30.00317935340874</v>
      </c>
      <c r="K47" s="269">
        <f>((VLOOKUP($G47,Year2018,5,0)+1.58)*1.0235)-1.74</f>
        <v>30.763986805451008</v>
      </c>
      <c r="L47" s="269"/>
      <c r="M47" s="269"/>
      <c r="N47" s="269"/>
      <c r="O47" s="269"/>
      <c r="P47" s="279" t="str">
        <f t="shared" si="1"/>
        <v>09230C</v>
      </c>
      <c r="Q47" s="279" t="str">
        <f t="shared" si="1"/>
        <v>Shop Repair Worker II</v>
      </c>
      <c r="R47" s="284">
        <f t="shared" si="1"/>
        <v>29.239865122282328</v>
      </c>
      <c r="S47" s="284">
        <f t="shared" si="1"/>
        <v>30.00317935340874</v>
      </c>
      <c r="T47" s="284">
        <f t="shared" si="1"/>
        <v>30.763986805451008</v>
      </c>
      <c r="U47" s="284"/>
      <c r="V47" s="284"/>
      <c r="W47" s="284"/>
      <c r="X47" s="284"/>
      <c r="Y47" s="167"/>
      <c r="AA47" s="219"/>
      <c r="AC47" s="230"/>
    </row>
    <row r="48" spans="1:40">
      <c r="A48" s="219">
        <v>8</v>
      </c>
      <c r="B48" s="219">
        <v>8</v>
      </c>
      <c r="C48" s="162">
        <v>260</v>
      </c>
      <c r="D48" s="162">
        <v>5</v>
      </c>
      <c r="E48" s="162" t="s">
        <v>17</v>
      </c>
      <c r="F48" s="162" t="s">
        <v>18</v>
      </c>
      <c r="G48" s="162" t="s">
        <v>140</v>
      </c>
      <c r="H48" s="211" t="s">
        <v>141</v>
      </c>
      <c r="I48" s="269">
        <f t="shared" si="5"/>
        <v>19.571218194681048</v>
      </c>
      <c r="J48" s="269">
        <f>((VLOOKUP($G48,Year2018,4,0)+1.58)*1.0235)-1.74</f>
        <v>20.768205207366982</v>
      </c>
      <c r="K48" s="269">
        <f>((VLOOKUP($G48,Year2018,5,0)+1.58)*1.0235)-1.74</f>
        <v>22.83379117271399</v>
      </c>
      <c r="L48" s="269">
        <f>((VLOOKUP($G48,Year2018,6,0)+1.58)*1.0235)-1.74</f>
        <v>23.726204526674589</v>
      </c>
      <c r="M48" s="269">
        <f>((VLOOKUP($G48,Year2018,7,0)+1.58)*1.0235)-1.74</f>
        <v>25.523565130016603</v>
      </c>
      <c r="N48" s="269">
        <f>((VLOOKUP($G48,Year2018,8,0)+1.58)*1.0235)-1.74</f>
        <v>26.595213188494579</v>
      </c>
      <c r="O48" s="269">
        <f>((VLOOKUP($G48,Year2018,9,0)+1.58)*1.0235)-1.74</f>
        <v>27.56125838318194</v>
      </c>
      <c r="P48" s="279" t="str">
        <f t="shared" si="1"/>
        <v>09400C</v>
      </c>
      <c r="Q48" s="279" t="str">
        <f t="shared" si="1"/>
        <v>Stock Worker</v>
      </c>
      <c r="R48" s="284">
        <f t="shared" si="1"/>
        <v>19.571218194681048</v>
      </c>
      <c r="S48" s="284">
        <f t="shared" si="1"/>
        <v>20.768205207366982</v>
      </c>
      <c r="T48" s="284">
        <f t="shared" si="1"/>
        <v>22.83379117271399</v>
      </c>
      <c r="U48" s="284">
        <f t="shared" si="1"/>
        <v>23.726204526674589</v>
      </c>
      <c r="V48" s="284">
        <f t="shared" si="1"/>
        <v>25.523565130016603</v>
      </c>
      <c r="W48" s="284">
        <f t="shared" si="1"/>
        <v>26.595213188494579</v>
      </c>
      <c r="X48" s="284">
        <f t="shared" si="1"/>
        <v>27.56125838318194</v>
      </c>
      <c r="Y48" s="167"/>
      <c r="AA48" s="219"/>
      <c r="AD48" s="230"/>
      <c r="AE48" s="230"/>
      <c r="AF48" s="230"/>
      <c r="AG48" s="230"/>
      <c r="AH48" s="230"/>
      <c r="AI48" s="230"/>
      <c r="AJ48" s="230"/>
      <c r="AK48" s="230"/>
      <c r="AL48" s="230"/>
      <c r="AM48" s="230"/>
      <c r="AN48" s="230"/>
    </row>
    <row r="49" spans="1:27">
      <c r="A49" s="219" t="s">
        <v>118</v>
      </c>
      <c r="B49" s="219" t="s">
        <v>117</v>
      </c>
      <c r="C49" s="162">
        <v>333</v>
      </c>
      <c r="D49" s="162">
        <v>7</v>
      </c>
      <c r="E49" s="162" t="s">
        <v>17</v>
      </c>
      <c r="F49" s="162" t="s">
        <v>18</v>
      </c>
      <c r="G49" s="162" t="s">
        <v>142</v>
      </c>
      <c r="H49" s="211" t="s">
        <v>143</v>
      </c>
      <c r="I49" s="269">
        <f t="shared" si="5"/>
        <v>25.929712415476999</v>
      </c>
      <c r="J49" s="269">
        <f>((VLOOKUP($G49,Year2018,4,0)+1.58)*1.0235)-1.74</f>
        <v>27.266328000370773</v>
      </c>
      <c r="K49" s="269">
        <f>((VLOOKUP($G49,Year2018,5,0)+1.58)*1.0235)-1.74</f>
        <v>28.602943585264537</v>
      </c>
      <c r="L49" s="269">
        <f>((VLOOKUP($G49,Year2018,6,0)+1.58)*1.0235)-1.74</f>
        <v>29.93498563522283</v>
      </c>
      <c r="M49" s="269">
        <f>((VLOOKUP($G49,Year2018,7,0)+1.58)*1.0235)-1.74</f>
        <v>31.272744603850473</v>
      </c>
      <c r="N49" s="269">
        <f>((VLOOKUP($G49,Year2018,8,0)+1.58)*1.0235)-1.74</f>
        <v>32.61279033994586</v>
      </c>
      <c r="O49" s="269"/>
      <c r="P49" s="279" t="str">
        <f t="shared" si="1"/>
        <v>09284C</v>
      </c>
      <c r="Q49" s="279" t="str">
        <f t="shared" si="1"/>
        <v xml:space="preserve">Stores Center Coordinator   </v>
      </c>
      <c r="R49" s="284">
        <f t="shared" si="1"/>
        <v>25.929712415476999</v>
      </c>
      <c r="S49" s="284">
        <f t="shared" si="1"/>
        <v>27.266328000370773</v>
      </c>
      <c r="T49" s="284">
        <f t="shared" si="1"/>
        <v>28.602943585264537</v>
      </c>
      <c r="U49" s="284">
        <f t="shared" si="1"/>
        <v>29.93498563522283</v>
      </c>
      <c r="V49" s="284">
        <f t="shared" si="1"/>
        <v>31.272744603850473</v>
      </c>
      <c r="W49" s="284">
        <f t="shared" si="1"/>
        <v>32.61279033994586</v>
      </c>
      <c r="X49" s="284"/>
      <c r="Y49" s="167"/>
      <c r="AA49" s="219"/>
    </row>
    <row r="50" spans="1:27">
      <c r="A50" s="219" t="s">
        <v>383</v>
      </c>
      <c r="B50" s="219"/>
      <c r="C50" s="162"/>
      <c r="D50" s="162"/>
      <c r="E50" s="162" t="s">
        <v>17</v>
      </c>
      <c r="F50" s="162" t="s">
        <v>18</v>
      </c>
      <c r="G50" s="162" t="s">
        <v>384</v>
      </c>
      <c r="H50" s="211" t="s">
        <v>385</v>
      </c>
      <c r="I50" s="269">
        <v>34.074052999999999</v>
      </c>
      <c r="J50" s="269"/>
      <c r="K50" s="269"/>
      <c r="L50" s="269"/>
      <c r="M50" s="269"/>
      <c r="N50" s="269"/>
      <c r="O50" s="269"/>
      <c r="P50" s="279" t="str">
        <f t="shared" si="1"/>
        <v>52931C</v>
      </c>
      <c r="Q50" s="279" t="str">
        <f t="shared" si="1"/>
        <v>Union Leader (Service Area Crew Leader)</v>
      </c>
      <c r="R50" s="284">
        <f t="shared" si="1"/>
        <v>34.074052999999999</v>
      </c>
      <c r="S50" s="284"/>
      <c r="T50" s="284"/>
      <c r="U50" s="284"/>
      <c r="V50" s="284"/>
      <c r="W50" s="284"/>
      <c r="X50" s="284"/>
      <c r="Y50" s="167"/>
      <c r="AA50" s="219"/>
    </row>
    <row r="51" spans="1:27">
      <c r="A51" s="219">
        <v>22</v>
      </c>
      <c r="B51" s="219">
        <v>22</v>
      </c>
      <c r="C51" s="162">
        <v>265</v>
      </c>
      <c r="D51" s="162">
        <v>5</v>
      </c>
      <c r="E51" s="162" t="s">
        <v>17</v>
      </c>
      <c r="F51" s="162" t="s">
        <v>18</v>
      </c>
      <c r="G51" s="162" t="s">
        <v>144</v>
      </c>
      <c r="H51" s="211" t="s">
        <v>145</v>
      </c>
      <c r="I51" s="269">
        <f>((VLOOKUP($G51,Year2018,3,0)+1.58)*1.0235)-1.74</f>
        <v>29.609805000000005</v>
      </c>
      <c r="J51" s="269">
        <f>((VLOOKUP($G51,Year2018,4,0)+1.58)*1.0235)-1.74</f>
        <v>30.203435000000006</v>
      </c>
      <c r="K51" s="269">
        <f>((VLOOKUP($G51,Year2018,5,0)+1.58)*1.0235)-1.74</f>
        <v>30.797065</v>
      </c>
      <c r="L51" s="269">
        <f>((VLOOKUP($G51,Year2018,6,0)+1.58)*1.0235)-1.74</f>
        <v>31.390695000000004</v>
      </c>
      <c r="M51" s="269"/>
      <c r="N51" s="269"/>
      <c r="O51" s="269"/>
      <c r="P51" s="279" t="str">
        <f t="shared" si="1"/>
        <v>10908C</v>
      </c>
      <c r="Q51" s="279" t="str">
        <f t="shared" si="1"/>
        <v>Water Treatment Operator* (see below for Step)</v>
      </c>
      <c r="R51" s="284">
        <f t="shared" si="1"/>
        <v>29.609805000000005</v>
      </c>
      <c r="S51" s="284">
        <f t="shared" si="1"/>
        <v>30.203435000000006</v>
      </c>
      <c r="T51" s="284">
        <f t="shared" si="1"/>
        <v>30.797065</v>
      </c>
      <c r="U51" s="284">
        <f t="shared" si="1"/>
        <v>31.390695000000004</v>
      </c>
      <c r="V51" s="284"/>
      <c r="W51" s="284"/>
      <c r="X51" s="284"/>
      <c r="Y51" s="167"/>
      <c r="AA51" s="219"/>
    </row>
    <row r="52" spans="1:27">
      <c r="A52" s="219" t="s">
        <v>65</v>
      </c>
      <c r="B52" s="219" t="s">
        <v>65</v>
      </c>
      <c r="C52" s="162">
        <v>253</v>
      </c>
      <c r="D52" s="162">
        <v>5</v>
      </c>
      <c r="E52" s="162" t="s">
        <v>17</v>
      </c>
      <c r="F52" s="162" t="s">
        <v>18</v>
      </c>
      <c r="G52" s="162" t="s">
        <v>146</v>
      </c>
      <c r="H52" s="211" t="s">
        <v>147</v>
      </c>
      <c r="I52" s="269">
        <f>((VLOOKUP($G52,Year2018,3,0)+1.58)*1.0235)-1.74</f>
        <v>24.518346717268852</v>
      </c>
      <c r="J52" s="269">
        <f>((VLOOKUP($G52,Year2018,4,0)+1.58)*1.0235)-1.74</f>
        <v>25.345583815041316</v>
      </c>
      <c r="K52" s="269">
        <f>((VLOOKUP($G52,Year2018,5,0)+1.58)*1.0235)-1.74</f>
        <v>26.20164887228162</v>
      </c>
      <c r="L52" s="269">
        <f>((VLOOKUP($G52,Year2018,6,0)+1.58)*1.0235)-1.74</f>
        <v>27.257002866712558</v>
      </c>
      <c r="M52" s="269"/>
      <c r="N52" s="269"/>
      <c r="O52" s="269"/>
      <c r="P52" s="279" t="str">
        <f t="shared" si="1"/>
        <v>11030C</v>
      </c>
      <c r="Q52" s="279" t="str">
        <f t="shared" si="1"/>
        <v>Yard Coordinator I</v>
      </c>
      <c r="R52" s="284">
        <f t="shared" si="1"/>
        <v>24.518346717268852</v>
      </c>
      <c r="S52" s="284">
        <f t="shared" si="1"/>
        <v>25.345583815041316</v>
      </c>
      <c r="T52" s="284">
        <f t="shared" si="1"/>
        <v>26.20164887228162</v>
      </c>
      <c r="U52" s="284">
        <f t="shared" si="1"/>
        <v>27.257002866712558</v>
      </c>
      <c r="V52" s="284"/>
      <c r="W52" s="284"/>
      <c r="X52" s="284"/>
      <c r="Y52" s="167"/>
      <c r="AA52" s="219"/>
    </row>
    <row r="53" spans="1:27">
      <c r="A53" s="219">
        <v>13</v>
      </c>
      <c r="B53" s="219">
        <v>13</v>
      </c>
      <c r="C53" s="162">
        <v>275</v>
      </c>
      <c r="D53" s="162">
        <v>6</v>
      </c>
      <c r="E53" s="162" t="s">
        <v>17</v>
      </c>
      <c r="F53" s="162" t="s">
        <v>18</v>
      </c>
      <c r="G53" s="162" t="s">
        <v>148</v>
      </c>
      <c r="H53" s="211" t="s">
        <v>149</v>
      </c>
      <c r="I53" s="269">
        <f>((VLOOKUP($G53,Year2018,3,0)+1.58)*1.0235)-1.74</f>
        <v>25.844432852788962</v>
      </c>
      <c r="J53" s="269">
        <f>((VLOOKUP($G53,Year2018,4,0)+1.58)*1.0235)-1.74</f>
        <v>27.120383406625894</v>
      </c>
      <c r="K53" s="269">
        <f>((VLOOKUP($G53,Year2018,5,0)+1.58)*1.0235)-1.74</f>
        <v>28.376279727789555</v>
      </c>
      <c r="L53" s="269">
        <f>((VLOOKUP($G53,Year2018,6,0)+1.58)*1.0235)-1.74</f>
        <v>29.724926875067105</v>
      </c>
      <c r="M53" s="269"/>
      <c r="N53" s="269"/>
      <c r="O53" s="269"/>
      <c r="P53" s="279" t="str">
        <f t="shared" si="1"/>
        <v>11040C</v>
      </c>
      <c r="Q53" s="279" t="str">
        <f t="shared" si="1"/>
        <v>Yard Coordinator II</v>
      </c>
      <c r="R53" s="284">
        <f t="shared" si="1"/>
        <v>25.844432852788962</v>
      </c>
      <c r="S53" s="284">
        <f t="shared" si="1"/>
        <v>27.120383406625894</v>
      </c>
      <c r="T53" s="284">
        <f t="shared" si="1"/>
        <v>28.376279727789555</v>
      </c>
      <c r="U53" s="284">
        <f t="shared" si="1"/>
        <v>29.724926875067105</v>
      </c>
      <c r="V53" s="284"/>
      <c r="W53" s="284"/>
      <c r="X53" s="284"/>
      <c r="Y53" s="167"/>
      <c r="AA53" s="219"/>
    </row>
    <row r="54" spans="1:27">
      <c r="A54" s="219"/>
      <c r="B54" s="219"/>
      <c r="D54" s="162"/>
      <c r="E54" s="296" t="s">
        <v>386</v>
      </c>
      <c r="F54" s="167"/>
      <c r="G54" s="219"/>
      <c r="I54" s="218"/>
      <c r="J54" s="220"/>
      <c r="K54" s="220"/>
      <c r="L54" s="220"/>
    </row>
    <row r="55" spans="1:27">
      <c r="E55" s="232" t="s">
        <v>387</v>
      </c>
      <c r="F55" s="165"/>
      <c r="I55" s="233"/>
      <c r="J55" s="162"/>
      <c r="K55" s="162"/>
      <c r="L55" s="162"/>
      <c r="M55" s="162"/>
      <c r="N55" s="162"/>
      <c r="P55" s="292"/>
      <c r="Q55" s="292"/>
      <c r="R55" s="284"/>
      <c r="S55" s="292"/>
    </row>
    <row r="56" spans="1:27" ht="13.5" customHeight="1">
      <c r="E56" s="165"/>
      <c r="F56" s="165"/>
      <c r="I56" s="233"/>
      <c r="J56" s="162"/>
      <c r="K56" s="162"/>
      <c r="L56" s="162"/>
      <c r="M56" s="162"/>
      <c r="N56" s="162"/>
    </row>
    <row r="57" spans="1:27" ht="60.75" hidden="1" customHeight="1">
      <c r="A57" s="268"/>
      <c r="B57" s="268"/>
      <c r="E57" s="268"/>
      <c r="F57" s="268"/>
      <c r="G57" s="268"/>
      <c r="H57" s="268"/>
      <c r="I57" s="268"/>
      <c r="J57" s="268"/>
      <c r="K57" s="268"/>
      <c r="L57" s="268"/>
      <c r="M57" s="268"/>
      <c r="N57" s="268"/>
      <c r="O57" s="268"/>
      <c r="P57" s="285"/>
      <c r="Q57" s="285"/>
      <c r="R57" s="285"/>
      <c r="S57" s="285"/>
      <c r="T57" s="285"/>
      <c r="U57" s="285"/>
      <c r="V57" s="285"/>
    </row>
    <row r="58" spans="1:27" ht="26.25" hidden="1" customHeight="1">
      <c r="A58" s="650"/>
      <c r="B58" s="650"/>
      <c r="E58" s="650"/>
      <c r="F58" s="650"/>
      <c r="G58" s="650"/>
      <c r="H58" s="650"/>
      <c r="I58" s="650"/>
      <c r="J58" s="650"/>
      <c r="K58" s="650"/>
      <c r="L58" s="650"/>
      <c r="M58" s="650"/>
      <c r="N58" s="650"/>
      <c r="O58" s="650"/>
      <c r="P58" s="285"/>
      <c r="Q58" s="285"/>
      <c r="R58" s="285"/>
      <c r="S58" s="285"/>
      <c r="T58" s="285"/>
      <c r="U58" s="285"/>
      <c r="V58" s="285"/>
    </row>
    <row r="59" spans="1:27" ht="15.75" customHeight="1">
      <c r="E59" s="234" t="s">
        <v>344</v>
      </c>
      <c r="F59" s="234"/>
      <c r="I59" s="233"/>
      <c r="J59" s="162"/>
      <c r="K59" s="162"/>
      <c r="L59" s="162"/>
      <c r="M59" s="162"/>
      <c r="N59" s="162"/>
      <c r="Y59" s="167"/>
    </row>
    <row r="60" spans="1:27" ht="15.75" customHeight="1">
      <c r="E60" s="234"/>
      <c r="F60" s="234"/>
      <c r="G60" s="162" t="s">
        <v>154</v>
      </c>
      <c r="H60" s="211" t="s">
        <v>155</v>
      </c>
      <c r="I60" s="233"/>
      <c r="J60" s="162"/>
      <c r="K60" s="162"/>
      <c r="L60" s="162"/>
      <c r="M60" s="162"/>
      <c r="N60" s="162"/>
      <c r="Y60" s="167"/>
    </row>
    <row r="61" spans="1:27" ht="15.75" customHeight="1">
      <c r="E61" s="234"/>
      <c r="F61" s="234"/>
      <c r="G61" s="162" t="s">
        <v>156</v>
      </c>
      <c r="H61" s="211" t="s">
        <v>157</v>
      </c>
      <c r="I61" s="233"/>
      <c r="J61" s="162"/>
      <c r="K61" s="162"/>
      <c r="L61" s="162"/>
      <c r="M61" s="162"/>
      <c r="N61" s="162"/>
      <c r="Y61" s="167"/>
    </row>
    <row r="62" spans="1:27" ht="15.75" customHeight="1">
      <c r="E62" s="234"/>
      <c r="F62" s="234"/>
      <c r="G62" s="162" t="s">
        <v>158</v>
      </c>
      <c r="H62" s="211" t="s">
        <v>159</v>
      </c>
      <c r="I62" s="233"/>
      <c r="J62" s="162"/>
      <c r="K62" s="162"/>
      <c r="L62" s="162"/>
      <c r="M62" s="162"/>
      <c r="N62" s="162"/>
      <c r="Y62" s="167"/>
    </row>
    <row r="63" spans="1:27">
      <c r="E63" s="165"/>
      <c r="F63" s="165"/>
      <c r="I63" s="233"/>
      <c r="J63" s="162"/>
      <c r="K63" s="162"/>
      <c r="L63" s="162"/>
      <c r="M63" s="162"/>
      <c r="N63" s="162"/>
    </row>
    <row r="64" spans="1:27">
      <c r="E64" s="234" t="s">
        <v>345</v>
      </c>
      <c r="F64" s="234"/>
      <c r="I64" s="233"/>
      <c r="J64" s="162"/>
      <c r="K64" s="162"/>
      <c r="L64" s="162"/>
      <c r="M64" s="162"/>
      <c r="N64" s="162"/>
      <c r="X64" s="292"/>
      <c r="Y64" s="167"/>
    </row>
    <row r="65" spans="1:44">
      <c r="E65" s="163"/>
      <c r="F65" s="163"/>
      <c r="G65" s="162" t="s">
        <v>154</v>
      </c>
      <c r="H65" s="211" t="s">
        <v>164</v>
      </c>
      <c r="J65" s="162"/>
      <c r="K65" s="162"/>
      <c r="L65" s="162"/>
      <c r="M65" s="162"/>
      <c r="N65" s="162"/>
      <c r="X65" s="292"/>
      <c r="Y65" s="167"/>
    </row>
    <row r="66" spans="1:44">
      <c r="E66" s="163"/>
      <c r="F66" s="163"/>
      <c r="G66" s="162" t="s">
        <v>156</v>
      </c>
      <c r="H66" s="211" t="s">
        <v>166</v>
      </c>
      <c r="J66" s="162"/>
      <c r="K66" s="162"/>
      <c r="L66" s="162"/>
      <c r="M66" s="162"/>
      <c r="N66" s="162"/>
      <c r="X66" s="292"/>
      <c r="Y66" s="167"/>
    </row>
    <row r="67" spans="1:44">
      <c r="E67" s="163"/>
      <c r="F67" s="163"/>
      <c r="G67" s="162" t="s">
        <v>158</v>
      </c>
      <c r="H67" s="211" t="s">
        <v>168</v>
      </c>
      <c r="J67" s="162"/>
      <c r="K67" s="162"/>
      <c r="L67" s="162"/>
      <c r="M67" s="162"/>
      <c r="N67" s="162"/>
      <c r="O67" s="162"/>
      <c r="P67" s="286"/>
      <c r="Q67" s="286"/>
      <c r="R67" s="286"/>
      <c r="S67" s="286"/>
      <c r="T67" s="286"/>
      <c r="U67" s="286"/>
      <c r="V67" s="286"/>
      <c r="X67" s="292"/>
      <c r="Y67" s="167"/>
    </row>
    <row r="68" spans="1:44">
      <c r="E68" s="163"/>
      <c r="F68" s="163"/>
      <c r="G68" s="162" t="s">
        <v>170</v>
      </c>
      <c r="H68" s="211" t="s">
        <v>171</v>
      </c>
      <c r="J68" s="162"/>
      <c r="K68" s="162"/>
      <c r="L68" s="162"/>
      <c r="M68" s="162"/>
      <c r="N68" s="162"/>
      <c r="X68" s="292"/>
      <c r="Y68" s="167"/>
    </row>
    <row r="69" spans="1:44">
      <c r="E69" s="163"/>
      <c r="F69" s="163"/>
      <c r="G69" s="162"/>
      <c r="J69" s="162"/>
      <c r="K69" s="162"/>
      <c r="L69" s="162"/>
      <c r="M69" s="162"/>
      <c r="N69" s="162"/>
      <c r="X69" s="292"/>
      <c r="Y69" s="167"/>
    </row>
    <row r="70" spans="1:44">
      <c r="E70" s="235" t="s">
        <v>346</v>
      </c>
      <c r="F70" s="163"/>
      <c r="H70" s="167"/>
      <c r="I70" s="233"/>
      <c r="J70" s="162"/>
      <c r="K70" s="162"/>
      <c r="L70" s="162"/>
      <c r="M70" s="162"/>
      <c r="N70" s="162"/>
    </row>
    <row r="71" spans="1:44">
      <c r="A71" s="83"/>
      <c r="B71" s="83"/>
      <c r="E71" s="163" t="s">
        <v>388</v>
      </c>
      <c r="F71" s="163"/>
      <c r="G71" s="83"/>
      <c r="I71" s="233"/>
      <c r="J71" s="162"/>
      <c r="K71" s="162"/>
      <c r="L71" s="162"/>
      <c r="M71" s="162"/>
      <c r="N71" s="162"/>
      <c r="P71" s="279" t="s">
        <v>389</v>
      </c>
      <c r="Q71" s="279" t="s">
        <v>390</v>
      </c>
      <c r="R71" s="293">
        <f>0.25*1.0235</f>
        <v>0.25587500000000002</v>
      </c>
      <c r="S71" s="292"/>
      <c r="T71" s="292"/>
      <c r="X71" s="292"/>
    </row>
    <row r="72" spans="1:44" s="159" customFormat="1">
      <c r="E72" s="210"/>
      <c r="F72" s="210"/>
      <c r="H72" s="211"/>
      <c r="I72" s="233"/>
      <c r="J72" s="162"/>
      <c r="K72" s="162"/>
      <c r="L72" s="162"/>
      <c r="M72" s="162"/>
      <c r="N72" s="162"/>
      <c r="P72" s="279"/>
      <c r="Q72" s="279"/>
      <c r="R72" s="279"/>
      <c r="S72" s="279"/>
      <c r="T72" s="279"/>
      <c r="U72" s="279"/>
      <c r="V72" s="279"/>
      <c r="W72" s="279"/>
      <c r="X72" s="293"/>
      <c r="Y72" s="294"/>
      <c r="Z72" s="167"/>
      <c r="AA72" s="167"/>
      <c r="AB72" s="167"/>
      <c r="AC72" s="167"/>
      <c r="AD72" s="167"/>
      <c r="AE72" s="167"/>
      <c r="AF72" s="167"/>
      <c r="AG72" s="167"/>
      <c r="AH72" s="167"/>
      <c r="AI72" s="167"/>
      <c r="AJ72" s="167"/>
      <c r="AK72" s="167"/>
      <c r="AL72" s="167"/>
      <c r="AM72" s="167"/>
      <c r="AN72" s="167"/>
      <c r="AO72" s="167"/>
      <c r="AP72" s="167"/>
      <c r="AQ72" s="167"/>
      <c r="AR72" s="167"/>
    </row>
    <row r="73" spans="1:44" s="159" customFormat="1">
      <c r="E73" s="234" t="s">
        <v>348</v>
      </c>
      <c r="F73" s="234"/>
      <c r="H73" s="211"/>
      <c r="I73" s="233"/>
      <c r="J73" s="162"/>
      <c r="K73" s="162"/>
      <c r="L73" s="162"/>
      <c r="M73" s="162"/>
      <c r="N73" s="162"/>
      <c r="P73" s="279"/>
      <c r="Q73" s="279"/>
      <c r="R73" s="279"/>
      <c r="S73" s="279"/>
      <c r="T73" s="279"/>
      <c r="U73" s="279"/>
      <c r="V73" s="279"/>
      <c r="W73" s="279"/>
      <c r="X73" s="293"/>
      <c r="Y73" s="294"/>
      <c r="Z73" s="167"/>
      <c r="AA73" s="167"/>
      <c r="AB73" s="167"/>
      <c r="AC73" s="167"/>
      <c r="AD73" s="167"/>
      <c r="AE73" s="167"/>
      <c r="AF73" s="167"/>
      <c r="AG73" s="167"/>
      <c r="AH73" s="167"/>
      <c r="AI73" s="167"/>
      <c r="AJ73" s="167"/>
      <c r="AK73" s="167"/>
      <c r="AL73" s="167"/>
      <c r="AM73" s="167"/>
      <c r="AN73" s="167"/>
      <c r="AO73" s="167"/>
      <c r="AP73" s="167"/>
      <c r="AQ73" s="167"/>
      <c r="AR73" s="167"/>
    </row>
    <row r="74" spans="1:44" s="159" customFormat="1">
      <c r="E74" s="163" t="s">
        <v>176</v>
      </c>
      <c r="F74" s="163"/>
      <c r="H74" s="211"/>
      <c r="I74" s="233"/>
      <c r="J74" s="162"/>
      <c r="K74" s="162"/>
      <c r="L74" s="162"/>
      <c r="M74" s="162"/>
      <c r="N74" s="162"/>
      <c r="P74" s="279"/>
      <c r="Q74" s="279"/>
      <c r="R74" s="279"/>
      <c r="S74" s="279"/>
      <c r="T74" s="279"/>
      <c r="U74" s="279"/>
      <c r="V74" s="279"/>
      <c r="W74" s="279"/>
      <c r="X74" s="293"/>
      <c r="Y74" s="294"/>
      <c r="Z74" s="167"/>
      <c r="AA74" s="167"/>
      <c r="AB74" s="167"/>
      <c r="AC74" s="167"/>
      <c r="AD74" s="167"/>
      <c r="AE74" s="167"/>
      <c r="AF74" s="167"/>
      <c r="AG74" s="167"/>
      <c r="AH74" s="167"/>
      <c r="AI74" s="167"/>
      <c r="AJ74" s="167"/>
      <c r="AK74" s="167"/>
      <c r="AL74" s="167"/>
      <c r="AM74" s="167"/>
      <c r="AN74" s="167"/>
      <c r="AO74" s="167"/>
      <c r="AP74" s="167"/>
      <c r="AQ74" s="167"/>
      <c r="AR74" s="167"/>
    </row>
    <row r="75" spans="1:44" s="159" customFormat="1">
      <c r="E75" s="210"/>
      <c r="F75" s="210"/>
      <c r="H75" s="160"/>
      <c r="I75" s="236"/>
      <c r="J75" s="162"/>
      <c r="K75" s="162"/>
      <c r="L75" s="162"/>
      <c r="M75" s="162"/>
      <c r="N75" s="162"/>
      <c r="P75" s="279" t="s">
        <v>391</v>
      </c>
      <c r="Q75" s="279" t="s">
        <v>392</v>
      </c>
      <c r="R75" s="279">
        <v>1.905</v>
      </c>
      <c r="S75" s="279"/>
      <c r="T75" s="279"/>
      <c r="U75" s="279"/>
      <c r="V75" s="279"/>
      <c r="W75" s="279"/>
      <c r="X75" s="293"/>
      <c r="Y75" s="294"/>
      <c r="Z75" s="167"/>
      <c r="AA75" s="167"/>
      <c r="AB75" s="167"/>
      <c r="AC75" s="167"/>
      <c r="AD75" s="167"/>
      <c r="AE75" s="167"/>
      <c r="AF75" s="167"/>
      <c r="AG75" s="167"/>
      <c r="AH75" s="167"/>
      <c r="AI75" s="167"/>
      <c r="AJ75" s="167"/>
      <c r="AK75" s="167"/>
      <c r="AL75" s="167"/>
      <c r="AM75" s="167"/>
      <c r="AN75" s="167"/>
      <c r="AO75" s="167"/>
      <c r="AP75" s="167"/>
      <c r="AQ75" s="167"/>
      <c r="AR75" s="167"/>
    </row>
    <row r="76" spans="1:44">
      <c r="E76" s="234" t="s">
        <v>349</v>
      </c>
      <c r="F76" s="234"/>
      <c r="H76" s="160"/>
      <c r="I76" s="236"/>
      <c r="J76" s="83"/>
      <c r="K76" s="83"/>
      <c r="L76" s="161"/>
      <c r="M76" s="162"/>
      <c r="N76" s="162"/>
    </row>
    <row r="77" spans="1:44">
      <c r="A77" s="233"/>
      <c r="B77" s="233"/>
      <c r="E77" s="163" t="s">
        <v>393</v>
      </c>
      <c r="F77" s="233"/>
      <c r="H77" s="160"/>
      <c r="I77" s="159"/>
      <c r="J77" s="83"/>
      <c r="K77" s="83"/>
      <c r="L77" s="161"/>
      <c r="M77" s="162"/>
      <c r="N77" s="162"/>
    </row>
    <row r="78" spans="1:44">
      <c r="A78" s="233"/>
      <c r="B78" s="233"/>
      <c r="E78" s="163"/>
      <c r="F78" s="233"/>
      <c r="H78" s="160"/>
      <c r="I78" s="159"/>
      <c r="J78" s="83"/>
      <c r="K78" s="83"/>
      <c r="L78" s="161"/>
      <c r="M78" s="162"/>
      <c r="N78" s="162"/>
    </row>
    <row r="79" spans="1:44">
      <c r="E79" s="237" t="s">
        <v>242</v>
      </c>
      <c r="F79" s="217"/>
    </row>
    <row r="80" spans="1:44">
      <c r="E80" s="238" t="s">
        <v>351</v>
      </c>
      <c r="F80" s="238"/>
      <c r="H80" s="217"/>
      <c r="I80" s="239"/>
      <c r="J80" s="213"/>
      <c r="P80" s="297" t="s">
        <v>394</v>
      </c>
      <c r="Q80" s="297" t="s">
        <v>395</v>
      </c>
      <c r="R80" s="298">
        <f>3.133*1.0235</f>
        <v>3.2066255000000004</v>
      </c>
      <c r="S80" s="292"/>
    </row>
    <row r="81" spans="1:30">
      <c r="E81" s="238" t="s">
        <v>396</v>
      </c>
      <c r="F81" s="238"/>
      <c r="H81" s="217"/>
      <c r="I81" s="239"/>
      <c r="J81" s="233"/>
      <c r="K81" s="233"/>
      <c r="L81" s="167"/>
      <c r="M81" s="167"/>
      <c r="N81" s="167"/>
      <c r="X81" s="292"/>
    </row>
    <row r="82" spans="1:30">
      <c r="E82" s="238"/>
      <c r="F82" s="238"/>
      <c r="I82" s="218"/>
      <c r="J82" s="220"/>
      <c r="M82" s="220"/>
    </row>
    <row r="83" spans="1:30">
      <c r="A83" s="209"/>
      <c r="B83" s="209"/>
      <c r="E83" s="237" t="s">
        <v>246</v>
      </c>
      <c r="F83" s="217"/>
      <c r="G83" s="209"/>
      <c r="I83" s="218"/>
      <c r="J83" s="220"/>
      <c r="M83" s="220"/>
    </row>
    <row r="84" spans="1:30">
      <c r="A84" s="209"/>
      <c r="B84" s="209"/>
      <c r="E84" s="238" t="s">
        <v>397</v>
      </c>
      <c r="F84" s="238"/>
      <c r="G84" s="209"/>
      <c r="H84" s="160"/>
      <c r="I84" s="233"/>
      <c r="J84" s="233"/>
      <c r="K84" s="240"/>
      <c r="L84" s="211"/>
      <c r="M84" s="162"/>
      <c r="N84" s="162"/>
      <c r="P84" s="279" t="s">
        <v>398</v>
      </c>
      <c r="Q84" s="279" t="s">
        <v>399</v>
      </c>
      <c r="R84" s="279">
        <v>0.81599999999999995</v>
      </c>
      <c r="S84" s="292"/>
    </row>
    <row r="85" spans="1:30">
      <c r="A85" s="162"/>
      <c r="B85" s="162"/>
      <c r="E85" s="238"/>
      <c r="F85" s="238"/>
      <c r="G85" s="162"/>
    </row>
    <row r="86" spans="1:30">
      <c r="A86" s="83"/>
      <c r="B86" s="83"/>
      <c r="E86" s="166" t="s">
        <v>400</v>
      </c>
      <c r="F86" s="166"/>
      <c r="G86" s="83"/>
      <c r="H86" s="160"/>
      <c r="J86" s="241"/>
      <c r="K86" s="241"/>
      <c r="L86" s="242"/>
      <c r="M86" s="162"/>
      <c r="N86" s="162"/>
      <c r="X86" s="299"/>
      <c r="Z86" s="296"/>
      <c r="AA86" s="296"/>
      <c r="AB86" s="296"/>
      <c r="AC86" s="296"/>
      <c r="AD86" s="296"/>
    </row>
    <row r="87" spans="1:30" s="296" customFormat="1" ht="30.75" customHeight="1">
      <c r="A87" s="243"/>
      <c r="B87" s="243"/>
      <c r="D87" s="209"/>
      <c r="E87" s="291" t="s">
        <v>188</v>
      </c>
      <c r="F87" s="241"/>
      <c r="G87" s="243"/>
      <c r="H87" s="160"/>
      <c r="I87" s="167"/>
      <c r="J87" s="303" t="s">
        <v>401</v>
      </c>
      <c r="K87" s="303" t="s">
        <v>402</v>
      </c>
      <c r="N87" s="162"/>
      <c r="O87" s="159"/>
      <c r="P87" s="279"/>
      <c r="Q87" s="279"/>
      <c r="R87" s="279"/>
      <c r="S87" s="279"/>
      <c r="T87" s="279"/>
      <c r="U87" s="279"/>
      <c r="V87" s="279"/>
      <c r="W87" s="279"/>
      <c r="X87" s="293"/>
      <c r="Y87" s="300"/>
      <c r="Z87" s="167"/>
      <c r="AA87" s="167"/>
      <c r="AB87" s="167"/>
      <c r="AC87" s="167"/>
      <c r="AD87" s="167"/>
    </row>
    <row r="88" spans="1:30">
      <c r="A88" s="83"/>
      <c r="B88" s="83"/>
      <c r="E88" s="160" t="s">
        <v>191</v>
      </c>
      <c r="F88" s="160"/>
      <c r="G88" s="83"/>
      <c r="H88" s="160"/>
      <c r="J88" s="220">
        <f>'1 1 2018'!L87*1.0235</f>
        <v>0.47525196470842745</v>
      </c>
      <c r="K88" s="220"/>
      <c r="L88" s="167"/>
      <c r="M88" s="167"/>
      <c r="N88" s="162"/>
      <c r="P88" s="279" t="s">
        <v>403</v>
      </c>
      <c r="Q88" s="279" t="s">
        <v>404</v>
      </c>
      <c r="R88" s="289">
        <f>J88</f>
        <v>0.47525196470842745</v>
      </c>
    </row>
    <row r="89" spans="1:30">
      <c r="A89" s="83"/>
      <c r="B89" s="83"/>
      <c r="E89" s="160" t="s">
        <v>355</v>
      </c>
      <c r="F89" s="160"/>
      <c r="G89" s="83"/>
      <c r="H89" s="160"/>
      <c r="J89" s="220">
        <f>'1 1 2018'!L88*1.0235</f>
        <v>0.69975084512830443</v>
      </c>
      <c r="K89" s="220">
        <f>'1 1 2018'!M88*1.0235</f>
        <v>1.3295266057437782</v>
      </c>
      <c r="L89" s="167"/>
      <c r="M89" s="167"/>
      <c r="N89" s="162"/>
      <c r="P89" s="279" t="s">
        <v>405</v>
      </c>
      <c r="Q89" s="279" t="s">
        <v>406</v>
      </c>
      <c r="R89" s="289">
        <f>J89</f>
        <v>0.69975084512830443</v>
      </c>
    </row>
    <row r="90" spans="1:30">
      <c r="A90" s="83"/>
      <c r="B90" s="83"/>
      <c r="E90" s="160"/>
      <c r="F90" s="160"/>
      <c r="G90" s="83"/>
      <c r="H90" s="160"/>
      <c r="J90" s="220"/>
      <c r="K90" s="220"/>
      <c r="L90" s="167"/>
      <c r="M90" s="167"/>
      <c r="N90" s="162"/>
      <c r="P90" s="279" t="s">
        <v>407</v>
      </c>
      <c r="Q90" s="279" t="s">
        <v>408</v>
      </c>
      <c r="R90" s="289">
        <f>K89</f>
        <v>1.3295266057437782</v>
      </c>
    </row>
    <row r="91" spans="1:30">
      <c r="A91" s="83"/>
      <c r="B91" s="83"/>
      <c r="E91" s="83" t="s">
        <v>193</v>
      </c>
      <c r="F91" s="83"/>
      <c r="G91" s="83"/>
      <c r="H91" s="160"/>
      <c r="J91" s="220" t="s">
        <v>194</v>
      </c>
      <c r="K91" s="220">
        <f>'1 1 2018'!M89*1.0235</f>
        <v>1.1398621341053685</v>
      </c>
      <c r="L91" s="167"/>
      <c r="M91" s="167"/>
      <c r="N91" s="162"/>
      <c r="P91" s="279" t="s">
        <v>409</v>
      </c>
      <c r="Q91" s="279" t="s">
        <v>410</v>
      </c>
      <c r="R91" s="289">
        <f>K91</f>
        <v>1.1398621341053685</v>
      </c>
    </row>
    <row r="92" spans="1:30">
      <c r="A92" s="83"/>
      <c r="B92" s="83"/>
      <c r="E92" s="160" t="s">
        <v>195</v>
      </c>
      <c r="F92" s="160"/>
      <c r="G92" s="83"/>
      <c r="H92" s="160"/>
      <c r="J92" s="220">
        <f>'1 1 2018'!L90*1.0235</f>
        <v>1.959302366359253</v>
      </c>
      <c r="K92" s="220"/>
      <c r="L92" s="167"/>
      <c r="M92" s="167"/>
      <c r="N92" s="162"/>
      <c r="P92" s="279" t="s">
        <v>411</v>
      </c>
      <c r="Q92" s="279" t="s">
        <v>412</v>
      </c>
      <c r="R92" s="289">
        <f>J92</f>
        <v>1.959302366359253</v>
      </c>
    </row>
    <row r="93" spans="1:30">
      <c r="A93" s="83"/>
      <c r="B93" s="83"/>
      <c r="E93" s="83" t="s">
        <v>196</v>
      </c>
      <c r="F93" s="83"/>
      <c r="G93" s="83"/>
      <c r="H93" s="160"/>
      <c r="I93" s="236"/>
      <c r="J93" s="220">
        <f>'1 1 2018'!L91*1.0235</f>
        <v>1.7493771128207614</v>
      </c>
      <c r="K93" s="83"/>
      <c r="L93" s="167"/>
      <c r="M93" s="167"/>
      <c r="N93" s="162"/>
      <c r="P93" s="279" t="s">
        <v>413</v>
      </c>
      <c r="Q93" s="279" t="s">
        <v>414</v>
      </c>
      <c r="R93" s="289">
        <f>J93</f>
        <v>1.7493771128207614</v>
      </c>
    </row>
    <row r="94" spans="1:30">
      <c r="A94" s="83"/>
      <c r="B94" s="83"/>
      <c r="E94" s="83" t="s">
        <v>197</v>
      </c>
      <c r="F94" s="83"/>
      <c r="G94" s="83"/>
      <c r="H94" s="160"/>
      <c r="I94" s="236"/>
      <c r="J94" s="220">
        <f>'1 1 2018'!L92*1.0235</f>
        <v>0.69975084512830443</v>
      </c>
      <c r="K94" s="83"/>
      <c r="L94" s="167"/>
      <c r="M94" s="167"/>
      <c r="N94" s="162"/>
      <c r="P94" s="279" t="s">
        <v>415</v>
      </c>
      <c r="Q94" s="279" t="s">
        <v>416</v>
      </c>
      <c r="R94" s="289">
        <f>J94</f>
        <v>0.69975084512830443</v>
      </c>
    </row>
    <row r="95" spans="1:30">
      <c r="A95" s="83"/>
      <c r="B95" s="83"/>
      <c r="E95" s="83"/>
      <c r="F95" s="83"/>
      <c r="G95" s="83"/>
      <c r="H95" s="160"/>
      <c r="I95" s="236"/>
      <c r="J95" s="83"/>
      <c r="K95" s="83"/>
      <c r="L95" s="83"/>
      <c r="M95" s="162"/>
      <c r="N95" s="162"/>
    </row>
    <row r="96" spans="1:30" ht="15.75">
      <c r="A96" s="83"/>
      <c r="B96" s="83"/>
      <c r="E96" s="234" t="s">
        <v>198</v>
      </c>
      <c r="F96" s="304"/>
      <c r="G96" s="305"/>
      <c r="H96" s="306"/>
      <c r="I96" s="305"/>
      <c r="J96" s="305"/>
      <c r="K96" s="83"/>
      <c r="L96" s="83"/>
      <c r="M96" s="162"/>
      <c r="N96" s="162"/>
    </row>
    <row r="97" spans="1:30" ht="15.75">
      <c r="A97" s="170"/>
      <c r="B97" s="170"/>
      <c r="E97" s="165" t="s">
        <v>199</v>
      </c>
      <c r="F97" s="165"/>
      <c r="G97" s="305"/>
      <c r="H97" s="306"/>
      <c r="I97" s="305"/>
      <c r="J97" s="305"/>
      <c r="K97" s="170"/>
      <c r="L97" s="170"/>
      <c r="M97" s="246"/>
      <c r="N97" s="246"/>
    </row>
    <row r="98" spans="1:30" ht="15.75">
      <c r="A98" s="170"/>
      <c r="B98" s="170"/>
      <c r="E98" s="165" t="s">
        <v>200</v>
      </c>
      <c r="F98" s="165"/>
      <c r="G98" s="305"/>
      <c r="H98" s="306"/>
      <c r="I98" s="305"/>
      <c r="J98" s="305"/>
      <c r="K98" s="170"/>
      <c r="L98" s="170"/>
      <c r="M98" s="246"/>
      <c r="N98" s="246"/>
    </row>
    <row r="99" spans="1:30" ht="15.75">
      <c r="A99" s="170"/>
      <c r="B99" s="170"/>
      <c r="E99" s="165" t="s">
        <v>201</v>
      </c>
      <c r="F99" s="165"/>
      <c r="G99" s="305"/>
      <c r="H99" s="306"/>
      <c r="I99" s="305"/>
      <c r="J99" s="305"/>
      <c r="K99" s="170"/>
      <c r="L99" s="170"/>
      <c r="M99" s="246"/>
      <c r="N99" s="246"/>
    </row>
    <row r="100" spans="1:30" ht="15.75">
      <c r="A100" s="170"/>
      <c r="B100" s="170"/>
      <c r="E100" s="165" t="s">
        <v>202</v>
      </c>
      <c r="F100" s="165"/>
      <c r="G100" s="305"/>
      <c r="H100" s="306"/>
      <c r="I100" s="305"/>
      <c r="J100" s="305"/>
      <c r="K100" s="170"/>
      <c r="L100" s="170"/>
      <c r="M100" s="246"/>
      <c r="N100" s="246"/>
    </row>
    <row r="101" spans="1:30" ht="15.75">
      <c r="A101" s="170"/>
      <c r="B101" s="170"/>
      <c r="E101" s="165" t="s">
        <v>203</v>
      </c>
      <c r="F101" s="165"/>
      <c r="G101" s="305"/>
      <c r="H101" s="306"/>
      <c r="I101" s="305"/>
      <c r="J101" s="305"/>
      <c r="K101" s="170"/>
      <c r="L101" s="170"/>
      <c r="M101" s="246"/>
      <c r="N101" s="246"/>
    </row>
    <row r="102" spans="1:30" ht="15.75">
      <c r="A102" s="170"/>
      <c r="B102" s="170"/>
      <c r="E102" s="165" t="s">
        <v>204</v>
      </c>
      <c r="F102" s="165"/>
      <c r="G102" s="305"/>
      <c r="H102" s="306"/>
      <c r="I102" s="305"/>
      <c r="J102" s="305"/>
      <c r="K102" s="170"/>
      <c r="L102" s="170"/>
      <c r="M102" s="246"/>
      <c r="N102" s="246"/>
    </row>
    <row r="103" spans="1:30" ht="15.75">
      <c r="A103" s="170"/>
      <c r="B103" s="170"/>
      <c r="E103" s="165" t="s">
        <v>205</v>
      </c>
      <c r="F103" s="165"/>
      <c r="G103" s="305"/>
      <c r="H103" s="306"/>
      <c r="I103" s="305"/>
      <c r="J103" s="305"/>
      <c r="K103" s="170"/>
      <c r="L103" s="170"/>
      <c r="M103" s="246"/>
      <c r="N103" s="246"/>
      <c r="X103" s="298"/>
      <c r="Z103" s="233"/>
      <c r="AA103" s="233"/>
      <c r="AB103" s="233"/>
    </row>
    <row r="104" spans="1:30" ht="15.75">
      <c r="A104" s="170"/>
      <c r="B104" s="170"/>
      <c r="E104" s="165" t="s">
        <v>206</v>
      </c>
      <c r="F104" s="165"/>
      <c r="G104" s="305"/>
      <c r="H104" s="306"/>
      <c r="I104" s="305"/>
      <c r="J104" s="305"/>
      <c r="K104" s="170"/>
      <c r="L104" s="170"/>
      <c r="M104" s="246"/>
      <c r="N104" s="246"/>
      <c r="X104" s="298"/>
      <c r="Y104" s="301"/>
      <c r="Z104" s="233"/>
      <c r="AA104" s="233"/>
      <c r="AB104" s="233"/>
    </row>
    <row r="105" spans="1:30" ht="15.75">
      <c r="A105" s="170"/>
      <c r="B105" s="170"/>
      <c r="E105" s="163" t="s">
        <v>207</v>
      </c>
      <c r="F105" s="163"/>
      <c r="G105" s="305"/>
      <c r="H105" s="306"/>
      <c r="I105" s="305"/>
      <c r="J105" s="305"/>
      <c r="K105" s="170"/>
      <c r="L105" s="170"/>
      <c r="M105" s="246"/>
      <c r="N105" s="246"/>
      <c r="Y105" s="301"/>
      <c r="AC105" s="233"/>
    </row>
    <row r="106" spans="1:30" ht="15.75">
      <c r="A106" s="170"/>
      <c r="B106" s="170"/>
      <c r="E106" s="163" t="s">
        <v>208</v>
      </c>
      <c r="F106" s="163"/>
      <c r="G106" s="305"/>
      <c r="H106" s="306"/>
      <c r="I106" s="305"/>
      <c r="J106" s="305"/>
      <c r="K106" s="170"/>
      <c r="L106" s="170"/>
      <c r="M106" s="246"/>
      <c r="N106" s="246"/>
      <c r="AC106" s="233"/>
    </row>
    <row r="107" spans="1:30" ht="15.75">
      <c r="A107" s="170"/>
      <c r="B107" s="170"/>
      <c r="E107" s="163" t="s">
        <v>209</v>
      </c>
      <c r="F107" s="163"/>
      <c r="G107" s="305"/>
      <c r="H107" s="306"/>
      <c r="I107" s="305"/>
      <c r="J107" s="305"/>
      <c r="K107" s="170"/>
      <c r="L107" s="170"/>
      <c r="M107" s="246"/>
      <c r="N107" s="246"/>
      <c r="AD107" s="233"/>
    </row>
    <row r="108" spans="1:30" ht="15.75">
      <c r="A108" s="170"/>
      <c r="B108" s="170"/>
      <c r="E108" s="165" t="s">
        <v>210</v>
      </c>
      <c r="F108" s="165"/>
      <c r="G108" s="305"/>
      <c r="H108" s="306"/>
      <c r="I108" s="305"/>
      <c r="J108" s="305"/>
      <c r="K108" s="170"/>
      <c r="L108" s="170"/>
      <c r="M108" s="246"/>
      <c r="N108" s="246"/>
      <c r="AD108" s="233"/>
    </row>
    <row r="109" spans="1:30" ht="15.75">
      <c r="A109" s="170"/>
      <c r="B109" s="170"/>
      <c r="E109" s="165" t="s">
        <v>211</v>
      </c>
      <c r="F109" s="165"/>
      <c r="G109" s="305"/>
      <c r="H109" s="306"/>
      <c r="I109" s="305"/>
      <c r="J109" s="305"/>
      <c r="K109" s="170"/>
      <c r="L109" s="170"/>
      <c r="M109" s="246"/>
      <c r="N109" s="246"/>
      <c r="AD109" s="233"/>
    </row>
    <row r="110" spans="1:30" ht="15.75">
      <c r="A110" s="170"/>
      <c r="B110" s="170"/>
      <c r="E110" s="165" t="s">
        <v>212</v>
      </c>
      <c r="F110" s="165"/>
      <c r="G110" s="305"/>
      <c r="H110" s="306"/>
      <c r="I110" s="305"/>
      <c r="J110" s="305"/>
      <c r="K110" s="170"/>
      <c r="L110" s="170"/>
      <c r="M110" s="246"/>
      <c r="N110" s="246"/>
      <c r="AD110" s="233"/>
    </row>
    <row r="111" spans="1:30" ht="15.75">
      <c r="A111" s="167"/>
      <c r="B111" s="167"/>
      <c r="E111" s="165"/>
      <c r="F111" s="83" t="s">
        <v>213</v>
      </c>
      <c r="G111" s="305"/>
      <c r="H111" s="306"/>
      <c r="I111" s="305"/>
      <c r="J111" s="305"/>
      <c r="K111" s="170"/>
      <c r="L111" s="170"/>
      <c r="M111" s="246"/>
      <c r="N111" s="246"/>
      <c r="AD111" s="233"/>
    </row>
    <row r="112" spans="1:30" ht="15.75">
      <c r="A112" s="167"/>
      <c r="B112" s="167"/>
      <c r="E112" s="165"/>
      <c r="F112" s="83" t="s">
        <v>356</v>
      </c>
      <c r="G112" s="305"/>
      <c r="H112" s="306"/>
      <c r="I112" s="305"/>
      <c r="J112" s="305"/>
      <c r="K112" s="170"/>
      <c r="L112" s="170"/>
      <c r="M112" s="246"/>
      <c r="N112" s="246"/>
      <c r="AD112" s="233"/>
    </row>
    <row r="113" spans="1:30" ht="15.75">
      <c r="A113" s="167"/>
      <c r="B113" s="167"/>
      <c r="E113" s="165"/>
      <c r="F113" s="83" t="s">
        <v>215</v>
      </c>
      <c r="G113" s="305"/>
      <c r="H113" s="306"/>
      <c r="I113" s="305"/>
      <c r="J113" s="305"/>
      <c r="K113" s="170"/>
      <c r="L113" s="170"/>
      <c r="M113" s="246"/>
      <c r="N113" s="246"/>
      <c r="AD113" s="233"/>
    </row>
    <row r="114" spans="1:30" s="233" customFormat="1" ht="15.75">
      <c r="A114" s="170"/>
      <c r="B114" s="170"/>
      <c r="D114" s="159"/>
      <c r="E114" s="165" t="s">
        <v>216</v>
      </c>
      <c r="F114" s="165"/>
      <c r="G114" s="305"/>
      <c r="H114" s="306"/>
      <c r="I114" s="305"/>
      <c r="J114" s="307"/>
      <c r="K114" s="246"/>
      <c r="L114" s="246"/>
      <c r="M114" s="246"/>
      <c r="N114" s="246"/>
      <c r="O114" s="159"/>
      <c r="P114" s="279"/>
      <c r="Q114" s="279"/>
      <c r="R114" s="279"/>
      <c r="S114" s="279"/>
      <c r="T114" s="279"/>
      <c r="U114" s="279"/>
      <c r="V114" s="279"/>
      <c r="W114" s="279"/>
      <c r="X114" s="293"/>
      <c r="Y114" s="294"/>
      <c r="Z114" s="167"/>
      <c r="AA114" s="167"/>
      <c r="AB114" s="167"/>
      <c r="AC114" s="167"/>
      <c r="AD114" s="167"/>
    </row>
    <row r="115" spans="1:30" s="233" customFormat="1">
      <c r="A115" s="83"/>
      <c r="B115" s="83"/>
      <c r="D115" s="159"/>
      <c r="E115" s="165"/>
      <c r="F115" s="165"/>
      <c r="G115" s="83"/>
      <c r="H115" s="160"/>
      <c r="I115" s="236"/>
      <c r="J115" s="162"/>
      <c r="K115" s="162"/>
      <c r="L115" s="162"/>
      <c r="M115" s="162"/>
      <c r="N115" s="162"/>
      <c r="O115" s="159"/>
      <c r="P115" s="279"/>
      <c r="Q115" s="279"/>
      <c r="R115" s="279"/>
      <c r="S115" s="279"/>
      <c r="T115" s="279"/>
      <c r="U115" s="279"/>
      <c r="V115" s="279"/>
      <c r="W115" s="279"/>
      <c r="X115" s="293"/>
      <c r="Y115" s="294"/>
      <c r="Z115" s="167"/>
      <c r="AA115" s="167"/>
      <c r="AB115" s="167"/>
      <c r="AC115" s="167"/>
      <c r="AD115" s="167"/>
    </row>
    <row r="116" spans="1:30" s="233" customFormat="1">
      <c r="A116" s="83"/>
      <c r="B116" s="83"/>
      <c r="D116" s="159"/>
      <c r="E116" s="166" t="s">
        <v>217</v>
      </c>
      <c r="F116" s="166"/>
      <c r="G116" s="83"/>
      <c r="H116" s="160"/>
      <c r="I116" s="248"/>
      <c r="J116" s="249"/>
      <c r="K116" s="162"/>
      <c r="L116" s="162"/>
      <c r="M116" s="162"/>
      <c r="N116" s="162"/>
      <c r="O116" s="159"/>
      <c r="P116" s="279"/>
      <c r="Q116" s="279"/>
      <c r="R116" s="279"/>
      <c r="S116" s="279"/>
      <c r="T116" s="279"/>
      <c r="U116" s="279"/>
      <c r="V116" s="279"/>
      <c r="W116" s="279"/>
      <c r="X116" s="293"/>
      <c r="Y116" s="294"/>
      <c r="Z116" s="167"/>
      <c r="AA116" s="167"/>
      <c r="AB116" s="167"/>
      <c r="AC116" s="167"/>
      <c r="AD116" s="167"/>
    </row>
    <row r="117" spans="1:30">
      <c r="A117" s="83"/>
      <c r="B117" s="83"/>
      <c r="E117" s="165" t="s">
        <v>357</v>
      </c>
      <c r="F117" s="165"/>
      <c r="G117" s="83"/>
      <c r="H117" s="160"/>
      <c r="I117" s="236"/>
      <c r="J117" s="249"/>
      <c r="K117" s="162"/>
      <c r="L117" s="162"/>
      <c r="M117" s="162"/>
      <c r="N117" s="162"/>
      <c r="P117" s="279" t="s">
        <v>417</v>
      </c>
    </row>
    <row r="118" spans="1:30">
      <c r="A118" s="167"/>
      <c r="B118" s="167"/>
      <c r="E118" s="167"/>
      <c r="F118" s="220">
        <f>'1 1 2018'!C116*1.0235</f>
        <v>0.25247760625135202</v>
      </c>
      <c r="G118" s="160" t="s">
        <v>220</v>
      </c>
      <c r="H118" s="160"/>
      <c r="I118" s="236"/>
      <c r="J118" s="249"/>
      <c r="K118" s="162"/>
      <c r="L118" s="162"/>
      <c r="M118" s="162"/>
      <c r="N118" s="162"/>
      <c r="P118" s="279" t="s">
        <v>418</v>
      </c>
      <c r="R118" s="289">
        <f>F118</f>
        <v>0.25247760625135202</v>
      </c>
    </row>
    <row r="119" spans="1:30">
      <c r="A119" s="167"/>
      <c r="B119" s="167"/>
      <c r="E119" s="167"/>
      <c r="F119" s="220">
        <f>'1 1 2018'!C117*1.0235</f>
        <v>0.41955837509415872</v>
      </c>
      <c r="G119" s="160" t="s">
        <v>221</v>
      </c>
      <c r="P119" s="279" t="s">
        <v>419</v>
      </c>
      <c r="R119" s="289">
        <f t="shared" ref="R119:R121" si="6">F119</f>
        <v>0.41955837509415872</v>
      </c>
    </row>
    <row r="120" spans="1:30">
      <c r="A120" s="167"/>
      <c r="B120" s="167"/>
      <c r="E120" s="167"/>
      <c r="F120" s="220">
        <f>'1 1 2018'!C118*1.0235</f>
        <v>0.50619284782746565</v>
      </c>
      <c r="G120" s="160" t="s">
        <v>222</v>
      </c>
      <c r="H120" s="250"/>
      <c r="I120" s="251"/>
      <c r="J120" s="252"/>
      <c r="P120" s="279" t="s">
        <v>420</v>
      </c>
      <c r="R120" s="289">
        <f t="shared" si="6"/>
        <v>0.50619284782746565</v>
      </c>
    </row>
    <row r="121" spans="1:30">
      <c r="A121" s="167"/>
      <c r="B121" s="167"/>
      <c r="E121" s="167"/>
      <c r="F121" s="220">
        <f>'1 1 2018'!C119*1.0235</f>
        <v>0.66337253407218022</v>
      </c>
      <c r="G121" s="160" t="s">
        <v>223</v>
      </c>
      <c r="J121" s="252"/>
      <c r="P121" s="279" t="s">
        <v>421</v>
      </c>
      <c r="R121" s="289">
        <f t="shared" si="6"/>
        <v>0.66337253407218022</v>
      </c>
    </row>
    <row r="122" spans="1:30">
      <c r="H122" s="253"/>
      <c r="I122" s="254"/>
      <c r="J122" s="255"/>
    </row>
    <row r="123" spans="1:30">
      <c r="A123" s="256"/>
      <c r="B123" s="256"/>
      <c r="E123" s="263" t="s">
        <v>224</v>
      </c>
      <c r="F123" s="166"/>
      <c r="G123" s="256"/>
      <c r="I123" s="257"/>
      <c r="J123" s="258"/>
    </row>
    <row r="124" spans="1:30">
      <c r="A124" s="259"/>
      <c r="B124" s="259"/>
      <c r="E124" s="165" t="s">
        <v>422</v>
      </c>
      <c r="F124" s="165"/>
      <c r="G124" s="259"/>
      <c r="K124" s="167"/>
      <c r="L124" s="260"/>
      <c r="M124" s="211"/>
      <c r="N124" s="167"/>
      <c r="P124" s="279" t="s">
        <v>423</v>
      </c>
      <c r="Q124" s="279" t="s">
        <v>424</v>
      </c>
      <c r="R124" s="279">
        <v>1.413</v>
      </c>
      <c r="X124" s="293">
        <f>1.381*1.0235</f>
        <v>1.4134535000000001</v>
      </c>
    </row>
    <row r="125" spans="1:30">
      <c r="A125" s="256"/>
      <c r="B125" s="256"/>
      <c r="E125" s="165" t="s">
        <v>359</v>
      </c>
      <c r="F125" s="165"/>
      <c r="G125" s="256"/>
      <c r="P125" s="279" t="s">
        <v>425</v>
      </c>
      <c r="Q125" s="279" t="s">
        <v>426</v>
      </c>
      <c r="R125" s="290">
        <f>R124</f>
        <v>1.413</v>
      </c>
      <c r="W125" s="292"/>
    </row>
    <row r="126" spans="1:30">
      <c r="A126" s="258"/>
      <c r="B126" s="258"/>
      <c r="E126" s="165" t="s">
        <v>227</v>
      </c>
      <c r="F126" s="165"/>
      <c r="G126" s="258"/>
      <c r="P126" s="279" t="s">
        <v>427</v>
      </c>
      <c r="Q126" s="279" t="s">
        <v>428</v>
      </c>
      <c r="R126" s="290">
        <f>R125</f>
        <v>1.413</v>
      </c>
      <c r="V126" s="293"/>
      <c r="W126" s="294"/>
      <c r="X126" s="167"/>
      <c r="Y126" s="167"/>
    </row>
    <row r="127" spans="1:30">
      <c r="A127" s="258"/>
      <c r="B127" s="258"/>
      <c r="E127" s="165" t="s">
        <v>228</v>
      </c>
      <c r="F127" s="165"/>
      <c r="G127" s="258"/>
    </row>
    <row r="128" spans="1:30">
      <c r="E128" s="165" t="s">
        <v>229</v>
      </c>
      <c r="F128" s="165"/>
      <c r="H128" s="160"/>
      <c r="I128" s="236"/>
      <c r="J128" s="83"/>
      <c r="K128" s="83"/>
    </row>
    <row r="129" spans="1:30">
      <c r="E129" s="83"/>
      <c r="F129" s="83"/>
      <c r="H129" s="160"/>
      <c r="I129" s="236"/>
      <c r="J129" s="83"/>
      <c r="K129" s="83"/>
    </row>
    <row r="130" spans="1:30">
      <c r="A130" s="83"/>
      <c r="B130" s="83"/>
      <c r="E130" s="83" t="s">
        <v>429</v>
      </c>
      <c r="F130" s="83"/>
      <c r="G130" s="83"/>
      <c r="H130" s="160"/>
      <c r="I130" s="236"/>
      <c r="J130" s="83"/>
      <c r="K130" s="83"/>
    </row>
    <row r="131" spans="1:30">
      <c r="E131" s="210" t="s">
        <v>430</v>
      </c>
      <c r="P131" s="279" t="s">
        <v>431</v>
      </c>
      <c r="Q131" s="279" t="s">
        <v>432</v>
      </c>
      <c r="R131" s="279">
        <v>1.2569999999999999</v>
      </c>
      <c r="X131" s="293">
        <f>1.228*1.0235</f>
        <v>1.256858</v>
      </c>
    </row>
    <row r="132" spans="1:30">
      <c r="A132" s="83"/>
      <c r="B132" s="83"/>
      <c r="E132" s="159"/>
      <c r="F132" s="159"/>
      <c r="G132" s="83"/>
    </row>
    <row r="133" spans="1:30">
      <c r="A133" s="83"/>
      <c r="B133" s="83"/>
      <c r="E133" s="165" t="s">
        <v>363</v>
      </c>
      <c r="F133" s="166"/>
      <c r="G133" s="83"/>
      <c r="H133" s="160"/>
      <c r="J133" s="83"/>
      <c r="K133" s="83"/>
      <c r="L133" s="83"/>
      <c r="M133" s="162"/>
      <c r="N133" s="162"/>
      <c r="X133" s="298"/>
      <c r="Y133" s="301"/>
      <c r="Z133" s="233"/>
      <c r="AA133" s="233"/>
      <c r="AB133" s="233"/>
    </row>
    <row r="134" spans="1:30">
      <c r="A134" s="83"/>
      <c r="B134" s="83"/>
      <c r="E134" s="165" t="s">
        <v>181</v>
      </c>
      <c r="F134" s="165"/>
      <c r="G134" s="83"/>
      <c r="H134" s="160"/>
      <c r="J134" s="83"/>
      <c r="K134" s="83"/>
      <c r="L134" s="83"/>
      <c r="M134" s="162"/>
      <c r="N134" s="162"/>
      <c r="X134" s="298"/>
      <c r="Y134" s="301"/>
      <c r="Z134" s="233"/>
      <c r="AA134" s="233"/>
      <c r="AB134" s="233"/>
      <c r="AC134" s="233"/>
    </row>
    <row r="135" spans="1:30" ht="26.25">
      <c r="A135" s="167"/>
      <c r="B135" s="167"/>
      <c r="E135" s="166"/>
      <c r="F135" s="168" t="s">
        <v>182</v>
      </c>
      <c r="G135" s="241" t="s">
        <v>183</v>
      </c>
      <c r="H135" s="167"/>
      <c r="J135" s="83"/>
      <c r="K135" s="83"/>
      <c r="L135" s="83"/>
      <c r="M135" s="162"/>
      <c r="N135" s="162"/>
      <c r="Q135" s="292"/>
      <c r="R135" s="292"/>
      <c r="X135" s="298"/>
      <c r="Y135" s="301"/>
      <c r="Z135" s="233"/>
      <c r="AA135" s="233"/>
      <c r="AB135" s="233"/>
      <c r="AC135" s="233"/>
    </row>
    <row r="136" spans="1:30">
      <c r="A136" s="167"/>
      <c r="B136" s="167"/>
      <c r="E136" s="167"/>
      <c r="F136" s="162" t="s">
        <v>154</v>
      </c>
      <c r="G136" s="162" t="s">
        <v>184</v>
      </c>
      <c r="H136" s="167"/>
      <c r="J136" s="83"/>
      <c r="K136" s="83"/>
      <c r="L136" s="83"/>
      <c r="M136" s="162"/>
      <c r="N136" s="162"/>
      <c r="O136" s="167"/>
      <c r="P136" s="292"/>
      <c r="S136" s="292"/>
      <c r="T136" s="292"/>
      <c r="U136" s="292"/>
      <c r="V136" s="292"/>
      <c r="X136" s="292"/>
      <c r="Y136" s="301"/>
      <c r="Z136" s="233"/>
      <c r="AA136" s="233"/>
      <c r="AB136" s="233"/>
      <c r="AC136" s="233"/>
      <c r="AD136" s="233"/>
    </row>
    <row r="137" spans="1:30">
      <c r="A137" s="167"/>
      <c r="B137" s="167"/>
      <c r="E137" s="163"/>
      <c r="F137" s="162" t="s">
        <v>156</v>
      </c>
      <c r="G137" s="162" t="s">
        <v>185</v>
      </c>
      <c r="H137" s="167"/>
      <c r="J137" s="83"/>
      <c r="K137" s="83"/>
      <c r="L137" s="83"/>
      <c r="M137" s="162"/>
      <c r="N137" s="162"/>
      <c r="X137" s="292"/>
      <c r="Y137" s="301"/>
      <c r="AC137" s="233"/>
      <c r="AD137" s="233"/>
    </row>
    <row r="138" spans="1:30" s="233" customFormat="1">
      <c r="D138" s="209"/>
      <c r="E138" s="167"/>
      <c r="F138" s="162" t="s">
        <v>158</v>
      </c>
      <c r="G138" s="162" t="s">
        <v>186</v>
      </c>
      <c r="I138" s="167"/>
      <c r="J138" s="83"/>
      <c r="K138" s="83"/>
      <c r="L138" s="83"/>
      <c r="M138" s="162"/>
      <c r="N138" s="162"/>
      <c r="O138" s="159"/>
      <c r="P138" s="279"/>
      <c r="Q138" s="279"/>
      <c r="R138" s="279"/>
      <c r="S138" s="279"/>
      <c r="T138" s="279"/>
      <c r="U138" s="279"/>
      <c r="V138" s="279"/>
      <c r="W138" s="279"/>
      <c r="X138" s="302"/>
      <c r="Y138" s="294"/>
      <c r="Z138" s="167"/>
      <c r="AA138" s="167"/>
      <c r="AB138" s="167"/>
    </row>
    <row r="139" spans="1:30" s="233" customFormat="1">
      <c r="D139" s="209"/>
      <c r="O139" s="159"/>
      <c r="P139" s="279"/>
      <c r="Q139" s="279"/>
      <c r="R139" s="279"/>
      <c r="S139" s="279"/>
      <c r="T139" s="279"/>
      <c r="U139" s="279"/>
      <c r="V139" s="279"/>
      <c r="W139" s="279"/>
      <c r="X139" s="302"/>
      <c r="Y139" s="294"/>
      <c r="Z139" s="167"/>
      <c r="AA139" s="167"/>
      <c r="AB139" s="167"/>
      <c r="AC139" s="167"/>
    </row>
    <row r="140" spans="1:30" s="233" customFormat="1">
      <c r="A140" s="162"/>
      <c r="B140" s="162"/>
      <c r="D140" s="159"/>
      <c r="E140" s="210"/>
      <c r="F140" s="210"/>
      <c r="G140" s="162"/>
      <c r="H140" s="211"/>
      <c r="I140" s="167"/>
      <c r="J140" s="159"/>
      <c r="K140" s="159"/>
      <c r="L140" s="159"/>
      <c r="M140" s="159"/>
      <c r="N140" s="159"/>
      <c r="O140" s="159"/>
      <c r="P140" s="279"/>
      <c r="Q140" s="279"/>
      <c r="R140" s="279"/>
      <c r="S140" s="279"/>
      <c r="T140" s="279"/>
      <c r="U140" s="279"/>
      <c r="V140" s="279"/>
      <c r="W140" s="279"/>
      <c r="X140" s="293"/>
      <c r="Y140" s="294"/>
      <c r="Z140" s="167"/>
      <c r="AA140" s="167"/>
      <c r="AB140" s="167"/>
      <c r="AC140" s="167"/>
      <c r="AD140" s="167"/>
    </row>
    <row r="141" spans="1:30" s="233" customFormat="1">
      <c r="A141" s="159"/>
      <c r="B141" s="159"/>
      <c r="D141" s="159"/>
      <c r="E141" s="264" t="s">
        <v>364</v>
      </c>
      <c r="F141" s="210"/>
      <c r="G141" s="159"/>
      <c r="H141" s="211"/>
      <c r="I141" s="167"/>
      <c r="J141" s="159"/>
      <c r="K141" s="159"/>
      <c r="L141" s="159"/>
      <c r="M141" s="159"/>
      <c r="N141" s="159"/>
      <c r="O141" s="159"/>
      <c r="P141" s="279"/>
      <c r="Q141" s="279"/>
      <c r="R141" s="279"/>
      <c r="S141" s="279"/>
      <c r="T141" s="279"/>
      <c r="U141" s="279"/>
      <c r="V141" s="279"/>
      <c r="W141" s="279"/>
      <c r="X141" s="293"/>
      <c r="Y141" s="294"/>
      <c r="Z141" s="167"/>
      <c r="AA141" s="167"/>
      <c r="AB141" s="167"/>
      <c r="AC141" s="167"/>
      <c r="AD141" s="167"/>
    </row>
    <row r="142" spans="1:30" s="233" customFormat="1">
      <c r="A142" s="159"/>
      <c r="B142" s="159"/>
      <c r="D142" s="159"/>
      <c r="E142" s="265" t="s">
        <v>433</v>
      </c>
      <c r="F142" s="210"/>
      <c r="G142" s="159"/>
      <c r="H142" s="211"/>
      <c r="I142" s="167"/>
      <c r="J142" s="159"/>
      <c r="K142" s="159"/>
      <c r="L142" s="159"/>
      <c r="M142" s="159"/>
      <c r="N142" s="159"/>
      <c r="O142" s="159"/>
      <c r="P142" s="279"/>
      <c r="Q142" s="279"/>
      <c r="R142" s="279"/>
      <c r="S142" s="279"/>
      <c r="T142" s="279"/>
      <c r="U142" s="279"/>
      <c r="V142" s="279"/>
      <c r="W142" s="279"/>
      <c r="X142" s="293"/>
      <c r="Y142" s="294"/>
      <c r="Z142" s="167"/>
      <c r="AA142" s="167"/>
      <c r="AB142" s="167"/>
      <c r="AC142" s="167"/>
      <c r="AD142" s="167"/>
    </row>
    <row r="143" spans="1:30">
      <c r="E143" s="210" t="s">
        <v>366</v>
      </c>
    </row>
    <row r="144" spans="1:30">
      <c r="E144" s="159"/>
    </row>
    <row r="145" spans="5:5">
      <c r="E145" s="265" t="s">
        <v>434</v>
      </c>
    </row>
    <row r="146" spans="5:5">
      <c r="E146" s="265" t="s">
        <v>368</v>
      </c>
    </row>
    <row r="147" spans="5:5">
      <c r="E147" s="159"/>
    </row>
    <row r="148" spans="5:5">
      <c r="E148" s="265" t="s">
        <v>369</v>
      </c>
    </row>
    <row r="149" spans="5:5">
      <c r="E149" s="210" t="s">
        <v>370</v>
      </c>
    </row>
  </sheetData>
  <pageMargins left="0.25" right="0.25" top="0.75" bottom="0.75" header="0.3" footer="0.3"/>
  <pageSetup scale="98" orientation="landscape" r:id="rId1"/>
  <headerFooter alignWithMargins="0"/>
  <rowBreaks count="1" manualBreakCount="1">
    <brk id="85"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D150"/>
  <sheetViews>
    <sheetView showGridLines="0" topLeftCell="H118" zoomScaleNormal="100" workbookViewId="0">
      <selection activeCell="H125" sqref="H125"/>
    </sheetView>
  </sheetViews>
  <sheetFormatPr defaultColWidth="9.140625" defaultRowHeight="15"/>
  <cols>
    <col min="1" max="1" width="6.42578125" style="159" bestFit="1" customWidth="1"/>
    <col min="2" max="2" width="7.5703125" style="208" customWidth="1"/>
    <col min="3" max="3" width="10.85546875" style="159" customWidth="1"/>
    <col min="4" max="4" width="8.42578125" style="210" customWidth="1"/>
    <col min="5" max="5" width="8.85546875" style="210" customWidth="1"/>
    <col min="6" max="6" width="37.28515625" style="159" hidden="1" customWidth="1"/>
    <col min="7" max="7" width="9.28515625" style="159" bestFit="1" customWidth="1"/>
    <col min="8" max="8" width="57.85546875" style="211" bestFit="1" customWidth="1"/>
    <col min="9" max="9" width="9.5703125" style="167" customWidth="1"/>
    <col min="10" max="14" width="9.5703125" style="159" customWidth="1"/>
    <col min="15" max="15" width="7.5703125" style="159" bestFit="1" customWidth="1"/>
    <col min="16" max="16" width="12.140625" style="279" bestFit="1" customWidth="1"/>
    <col min="17" max="17" width="9.5703125" style="280" bestFit="1" customWidth="1"/>
    <col min="18" max="18" width="57.85546875" style="308" bestFit="1" customWidth="1"/>
    <col min="19" max="22" width="7.5703125" style="278" bestFit="1" customWidth="1"/>
    <col min="23" max="23" width="8.85546875" style="278" bestFit="1" customWidth="1"/>
    <col min="24" max="25" width="7.5703125" style="278" bestFit="1" customWidth="1"/>
    <col min="26" max="26" width="8.42578125" style="208" customWidth="1"/>
    <col min="27" max="16384" width="9.140625" style="208"/>
  </cols>
  <sheetData>
    <row r="1" spans="1:27">
      <c r="A1" s="209" t="s">
        <v>316</v>
      </c>
      <c r="P1" s="279" t="s">
        <v>435</v>
      </c>
      <c r="Q1" s="319">
        <v>1.0235000000000001</v>
      </c>
      <c r="R1" s="308" t="s">
        <v>436</v>
      </c>
    </row>
    <row r="2" spans="1:27">
      <c r="A2" s="212" t="s">
        <v>0</v>
      </c>
      <c r="C2" s="208"/>
      <c r="D2" s="159"/>
      <c r="E2" s="211"/>
      <c r="F2" s="162"/>
      <c r="G2" s="162"/>
      <c r="H2" s="162"/>
      <c r="I2" s="162"/>
      <c r="J2" s="162"/>
      <c r="K2" s="162"/>
      <c r="P2" s="279" t="s">
        <v>437</v>
      </c>
      <c r="Q2" s="320">
        <v>1.74</v>
      </c>
    </row>
    <row r="3" spans="1:27">
      <c r="A3" s="212" t="s">
        <v>438</v>
      </c>
      <c r="C3" s="208"/>
      <c r="D3" s="209"/>
      <c r="E3" s="211"/>
      <c r="F3" s="213"/>
      <c r="G3" s="213"/>
      <c r="H3" s="213"/>
      <c r="I3" s="213"/>
      <c r="J3" s="213"/>
      <c r="K3" s="213"/>
    </row>
    <row r="4" spans="1:27">
      <c r="A4" s="159" t="s">
        <v>318</v>
      </c>
      <c r="C4" s="208"/>
    </row>
    <row r="5" spans="1:27" ht="30">
      <c r="A5" s="215" t="s">
        <v>373</v>
      </c>
      <c r="B5" s="216" t="s">
        <v>2</v>
      </c>
      <c r="C5" s="216" t="s">
        <v>374</v>
      </c>
      <c r="D5" s="216" t="s">
        <v>375</v>
      </c>
      <c r="E5" s="215" t="s">
        <v>376</v>
      </c>
      <c r="F5" s="216" t="s">
        <v>439</v>
      </c>
      <c r="G5" s="216" t="s">
        <v>7</v>
      </c>
      <c r="H5" s="217" t="s">
        <v>440</v>
      </c>
      <c r="I5" s="213" t="s">
        <v>154</v>
      </c>
      <c r="J5" s="213" t="s">
        <v>156</v>
      </c>
      <c r="K5" s="213" t="s">
        <v>158</v>
      </c>
      <c r="L5" s="213" t="s">
        <v>170</v>
      </c>
      <c r="M5" s="213" t="s">
        <v>441</v>
      </c>
      <c r="N5" s="213" t="s">
        <v>442</v>
      </c>
      <c r="O5" s="213" t="s">
        <v>443</v>
      </c>
      <c r="P5" s="286" t="s">
        <v>444</v>
      </c>
      <c r="Q5" s="281" t="s">
        <v>7</v>
      </c>
      <c r="R5" s="282" t="s">
        <v>440</v>
      </c>
      <c r="S5" s="283" t="s">
        <v>154</v>
      </c>
      <c r="T5" s="283" t="s">
        <v>156</v>
      </c>
      <c r="U5" s="283" t="s">
        <v>158</v>
      </c>
      <c r="V5" s="283" t="s">
        <v>170</v>
      </c>
      <c r="W5" s="283" t="s">
        <v>441</v>
      </c>
      <c r="X5" s="283" t="s">
        <v>442</v>
      </c>
      <c r="Y5" s="283" t="s">
        <v>443</v>
      </c>
    </row>
    <row r="6" spans="1:27">
      <c r="A6" s="219">
        <v>15</v>
      </c>
      <c r="B6" s="162">
        <v>228</v>
      </c>
      <c r="C6" s="162">
        <v>5</v>
      </c>
      <c r="D6" s="162" t="s">
        <v>17</v>
      </c>
      <c r="E6" s="162" t="s">
        <v>18</v>
      </c>
      <c r="F6" s="219">
        <v>15</v>
      </c>
      <c r="G6" s="162" t="s">
        <v>45</v>
      </c>
      <c r="H6" s="211" t="s">
        <v>46</v>
      </c>
      <c r="I6" s="269">
        <f>S6</f>
        <v>29.767710897284999</v>
      </c>
      <c r="J6" s="269"/>
      <c r="K6" s="269"/>
      <c r="L6" s="269"/>
      <c r="M6" s="269"/>
      <c r="N6" s="269"/>
      <c r="O6" s="220"/>
      <c r="P6" s="313" t="s">
        <v>445</v>
      </c>
      <c r="Q6" s="286" t="str">
        <f>G6</f>
        <v>00500C</v>
      </c>
      <c r="R6" s="309" t="str">
        <f>H6</f>
        <v>Asphalt Raker</v>
      </c>
      <c r="S6" s="321">
        <f t="shared" ref="S6:S52" si="0">IF($P6="Y",((VLOOKUP($Q6,Rates2019,3,0)+LIUNA2020)*PercIncr2020)-LIUNA2020,VLOOKUP($Q6,Rates2019,3,0))</f>
        <v>29.767710897284999</v>
      </c>
      <c r="T6" s="321"/>
      <c r="U6" s="321"/>
      <c r="V6" s="322"/>
      <c r="W6" s="321"/>
      <c r="X6" s="321"/>
      <c r="Y6" s="321"/>
      <c r="AA6" s="343"/>
    </row>
    <row r="7" spans="1:27">
      <c r="A7" s="219" t="s">
        <v>319</v>
      </c>
      <c r="B7" s="162">
        <v>228</v>
      </c>
      <c r="C7" s="162">
        <v>5</v>
      </c>
      <c r="D7" s="162" t="s">
        <v>17</v>
      </c>
      <c r="E7" s="162" t="s">
        <v>18</v>
      </c>
      <c r="F7" s="219" t="s">
        <v>19</v>
      </c>
      <c r="G7" s="162" t="s">
        <v>21</v>
      </c>
      <c r="H7" s="211" t="s">
        <v>22</v>
      </c>
      <c r="I7" s="269">
        <f t="shared" ref="I7:I50" si="1">S7</f>
        <v>25.924638155836281</v>
      </c>
      <c r="J7" s="269">
        <f t="shared" ref="J7:J9" si="2">T7</f>
        <v>26.73717887738875</v>
      </c>
      <c r="K7" s="269">
        <f t="shared" ref="K7:K9" si="3">U7</f>
        <v>27.574095820587793</v>
      </c>
      <c r="L7" s="269">
        <f t="shared" ref="L7:L9" si="4">V7</f>
        <v>28.436120272082814</v>
      </c>
      <c r="M7" s="269"/>
      <c r="N7" s="269"/>
      <c r="O7" s="220"/>
      <c r="P7" s="312" t="s">
        <v>445</v>
      </c>
      <c r="Q7" s="286" t="str">
        <f t="shared" ref="Q7:Q52" si="5">G7</f>
        <v>00505C</v>
      </c>
      <c r="R7" s="309" t="str">
        <f t="shared" ref="R7:R52" si="6">H7</f>
        <v>Asphalt Raker Apprentice I (1st 522 hours)</v>
      </c>
      <c r="S7" s="321">
        <f t="shared" si="0"/>
        <v>25.924638155836281</v>
      </c>
      <c r="T7" s="321">
        <f>IF($P7="Y",((VLOOKUP($Q7,Rates2019,4,0)+LIUNA2020)*PercIncr2020)-LIUNA2020,VLOOKUP($Q7,Rates2019,4,0))</f>
        <v>26.73717887738875</v>
      </c>
      <c r="U7" s="321">
        <f>IF($P7="Y",((VLOOKUP($Q7,Rates2019,5,0)+LIUNA2020)*PercIncr2020)-LIUNA2020,VLOOKUP($Q7,Rates2019,5,0))</f>
        <v>27.574095820587793</v>
      </c>
      <c r="V7" s="321">
        <f>IF($P7="Y",((VLOOKUP($Q7,Rates2019,6,0)+LIUNA2020)*PercIncr2020)-LIUNA2020,VLOOKUP($Q7,Rates2019,6,0))</f>
        <v>28.436120272082814</v>
      </c>
      <c r="W7" s="321"/>
      <c r="X7" s="321"/>
      <c r="Y7" s="321"/>
    </row>
    <row r="8" spans="1:27">
      <c r="A8" s="219" t="s">
        <v>321</v>
      </c>
      <c r="B8" s="162">
        <v>228</v>
      </c>
      <c r="C8" s="162">
        <v>5</v>
      </c>
      <c r="D8" s="162" t="s">
        <v>17</v>
      </c>
      <c r="E8" s="162" t="s">
        <v>18</v>
      </c>
      <c r="F8" s="219" t="s">
        <v>19</v>
      </c>
      <c r="G8" s="162" t="s">
        <v>25</v>
      </c>
      <c r="H8" s="211" t="s">
        <v>26</v>
      </c>
      <c r="I8" s="269">
        <f t="shared" si="1"/>
        <v>26.359296895260496</v>
      </c>
      <c r="J8" s="269">
        <f t="shared" si="2"/>
        <v>27.171837616812969</v>
      </c>
      <c r="K8" s="269">
        <f t="shared" si="3"/>
        <v>28.008754560012008</v>
      </c>
      <c r="L8" s="269">
        <f t="shared" si="4"/>
        <v>28.870779011507022</v>
      </c>
      <c r="M8" s="269"/>
      <c r="N8" s="269"/>
      <c r="O8" s="220"/>
      <c r="P8" s="312" t="s">
        <v>445</v>
      </c>
      <c r="Q8" s="286" t="str">
        <f t="shared" si="5"/>
        <v>00507C</v>
      </c>
      <c r="R8" s="309" t="str">
        <f t="shared" si="6"/>
        <v>Asphalt Raker Apprentice II (2nd 522 hours)</v>
      </c>
      <c r="S8" s="321">
        <f t="shared" si="0"/>
        <v>26.359296895260496</v>
      </c>
      <c r="T8" s="321">
        <f>IF($P8="Y",((VLOOKUP($Q8,Rates2019,4,0)+LIUNA2020)*PercIncr2020)-LIUNA2020,VLOOKUP($Q8,Rates2019,4,0))</f>
        <v>27.171837616812969</v>
      </c>
      <c r="U8" s="321">
        <f>IF($P8="Y",((VLOOKUP($Q8,Rates2019,5,0)+LIUNA2020)*PercIncr2020)-LIUNA2020,VLOOKUP($Q8,Rates2019,5,0))</f>
        <v>28.008754560012008</v>
      </c>
      <c r="V8" s="321">
        <f>IF($P8="Y",((VLOOKUP($Q8,Rates2019,6,0)+LIUNA2020)*PercIncr2020)-LIUNA2020,VLOOKUP($Q8,Rates2019,6,0))</f>
        <v>28.870779011507022</v>
      </c>
      <c r="W8" s="321"/>
      <c r="X8" s="321"/>
      <c r="Y8" s="321"/>
    </row>
    <row r="9" spans="1:27">
      <c r="A9" s="219" t="s">
        <v>47</v>
      </c>
      <c r="B9" s="162">
        <v>178</v>
      </c>
      <c r="C9" s="162">
        <v>3</v>
      </c>
      <c r="D9" s="162" t="s">
        <v>17</v>
      </c>
      <c r="E9" s="162" t="s">
        <v>18</v>
      </c>
      <c r="F9" s="219" t="s">
        <v>47</v>
      </c>
      <c r="G9" s="162" t="s">
        <v>48</v>
      </c>
      <c r="H9" s="211" t="s">
        <v>49</v>
      </c>
      <c r="I9" s="269">
        <f t="shared" si="1"/>
        <v>15.605168330675491</v>
      </c>
      <c r="J9" s="269">
        <f t="shared" si="2"/>
        <v>18.170856723312237</v>
      </c>
      <c r="K9" s="269">
        <f t="shared" si="3"/>
        <v>19.221506120096983</v>
      </c>
      <c r="L9" s="269">
        <f t="shared" si="4"/>
        <v>24.178416094671157</v>
      </c>
      <c r="M9" s="269"/>
      <c r="N9" s="269"/>
      <c r="O9" s="220"/>
      <c r="P9" s="313" t="s">
        <v>445</v>
      </c>
      <c r="Q9" s="286" t="str">
        <f t="shared" si="5"/>
        <v>01060C</v>
      </c>
      <c r="R9" s="309" t="str">
        <f t="shared" si="6"/>
        <v>Attendant Impound Lot</v>
      </c>
      <c r="S9" s="321">
        <f t="shared" si="0"/>
        <v>15.605168330675491</v>
      </c>
      <c r="T9" s="321">
        <f>IF($P9="Y",((VLOOKUP($Q9,Rates2019,4,0)+LIUNA2020)*PercIncr2020)-LIUNA2020,VLOOKUP($Q9,Rates2019,4,0))</f>
        <v>18.170856723312237</v>
      </c>
      <c r="U9" s="321">
        <f>IF($P9="Y",((VLOOKUP($Q9,Rates2019,5,0)+LIUNA2020)*PercIncr2020)-LIUNA2020,VLOOKUP($Q9,Rates2019,5,0))</f>
        <v>19.221506120096983</v>
      </c>
      <c r="V9" s="321">
        <f>IF($P9="Y",((VLOOKUP($Q9,Rates2019,6,0)+LIUNA2020)*PercIncr2020)-LIUNA2020,VLOOKUP($Q9,Rates2019,6,0))</f>
        <v>24.178416094671157</v>
      </c>
      <c r="W9" s="321"/>
      <c r="X9" s="321"/>
      <c r="Y9" s="321"/>
    </row>
    <row r="10" spans="1:27">
      <c r="A10" s="219">
        <v>18</v>
      </c>
      <c r="B10" s="162">
        <v>280</v>
      </c>
      <c r="C10" s="162">
        <v>6</v>
      </c>
      <c r="D10" s="162" t="s">
        <v>17</v>
      </c>
      <c r="E10" s="162" t="s">
        <v>18</v>
      </c>
      <c r="F10" s="219">
        <v>18</v>
      </c>
      <c r="G10" s="162" t="s">
        <v>50</v>
      </c>
      <c r="H10" s="211" t="s">
        <v>51</v>
      </c>
      <c r="I10" s="269">
        <f t="shared" si="1"/>
        <v>33.354215535610003</v>
      </c>
      <c r="J10" s="269"/>
      <c r="K10" s="269"/>
      <c r="L10" s="269"/>
      <c r="M10" s="269"/>
      <c r="N10" s="269"/>
      <c r="O10" s="220"/>
      <c r="P10" s="313" t="s">
        <v>445</v>
      </c>
      <c r="Q10" s="286" t="str">
        <f t="shared" si="5"/>
        <v>01570C</v>
      </c>
      <c r="R10" s="309" t="str">
        <f t="shared" si="6"/>
        <v>Cement Finisher Journeyman</v>
      </c>
      <c r="S10" s="321">
        <f t="shared" si="0"/>
        <v>33.354215535610003</v>
      </c>
      <c r="T10" s="321"/>
      <c r="U10" s="321"/>
      <c r="V10" s="322"/>
      <c r="W10" s="321"/>
      <c r="X10" s="321"/>
      <c r="Y10" s="321"/>
    </row>
    <row r="11" spans="1:27">
      <c r="A11" s="219" t="s">
        <v>321</v>
      </c>
      <c r="B11" s="162">
        <v>280</v>
      </c>
      <c r="C11" s="162">
        <v>6</v>
      </c>
      <c r="D11" s="162" t="s">
        <v>17</v>
      </c>
      <c r="E11" s="162" t="s">
        <v>18</v>
      </c>
      <c r="F11" s="219" t="s">
        <v>19</v>
      </c>
      <c r="G11" s="162" t="s">
        <v>31</v>
      </c>
      <c r="H11" s="211" t="s">
        <v>32</v>
      </c>
      <c r="I11" s="269">
        <f t="shared" si="1"/>
        <v>26.359296895260496</v>
      </c>
      <c r="J11" s="269">
        <f t="shared" ref="J11" si="7">T11</f>
        <v>27.171837616812969</v>
      </c>
      <c r="K11" s="269">
        <f t="shared" ref="K11" si="8">U11</f>
        <v>28.008754560012008</v>
      </c>
      <c r="L11" s="269">
        <f t="shared" ref="L11" si="9">V11</f>
        <v>28.870779011507022</v>
      </c>
      <c r="M11" s="269"/>
      <c r="N11" s="269"/>
      <c r="O11" s="220"/>
      <c r="P11" s="313" t="s">
        <v>445</v>
      </c>
      <c r="Q11" s="286" t="str">
        <f t="shared" si="5"/>
        <v>01585C</v>
      </c>
      <c r="R11" s="309" t="str">
        <f t="shared" si="6"/>
        <v>Cement Finisher Apprentice I (1st 174 hours)</v>
      </c>
      <c r="S11" s="321">
        <f t="shared" si="0"/>
        <v>26.359296895260496</v>
      </c>
      <c r="T11" s="321">
        <f>IF($P11="Y",((VLOOKUP($Q11,Rates2019,4,0)+LIUNA2020)*PercIncr2020)-LIUNA2020,VLOOKUP($Q11,Rates2019,4,0))</f>
        <v>27.171837616812969</v>
      </c>
      <c r="U11" s="321">
        <f>IF($P11="Y",((VLOOKUP($Q11,Rates2019,5,0)+LIUNA2020)*PercIncr2020)-LIUNA2020,VLOOKUP($Q11,Rates2019,5,0))</f>
        <v>28.008754560012008</v>
      </c>
      <c r="V11" s="321">
        <f>IF($P11="Y",((VLOOKUP($Q11,Rates2019,6,0)+LIUNA2020)*PercIncr2020)-LIUNA2020,VLOOKUP($Q11,Rates2019,6,0))</f>
        <v>28.870779011507022</v>
      </c>
      <c r="W11" s="321"/>
      <c r="X11" s="321"/>
      <c r="Y11" s="321"/>
    </row>
    <row r="12" spans="1:27">
      <c r="A12" s="219" t="s">
        <v>322</v>
      </c>
      <c r="B12" s="162">
        <v>280</v>
      </c>
      <c r="C12" s="162">
        <v>6</v>
      </c>
      <c r="D12" s="162" t="s">
        <v>17</v>
      </c>
      <c r="E12" s="162" t="s">
        <v>18</v>
      </c>
      <c r="F12" s="219" t="s">
        <v>19</v>
      </c>
      <c r="G12" s="162" t="s">
        <v>35</v>
      </c>
      <c r="H12" s="211" t="s">
        <v>36</v>
      </c>
      <c r="I12" s="269">
        <f t="shared" ref="I12:I14" si="10">S12</f>
        <v>26.731861529052672</v>
      </c>
      <c r="J12" s="269">
        <f t="shared" ref="J12:J15" si="11">T12</f>
        <v>27.544402250605149</v>
      </c>
      <c r="K12" s="269">
        <f t="shared" ref="K12:K15" si="12">U12</f>
        <v>28.381319193804188</v>
      </c>
      <c r="L12" s="269">
        <f t="shared" ref="L12:L14" si="13">V12</f>
        <v>29.243343645299209</v>
      </c>
      <c r="M12" s="269"/>
      <c r="N12" s="269"/>
      <c r="O12" s="220"/>
      <c r="P12" s="313" t="s">
        <v>445</v>
      </c>
      <c r="Q12" s="286" t="str">
        <f t="shared" si="5"/>
        <v>01586C</v>
      </c>
      <c r="R12" s="309" t="str">
        <f t="shared" si="6"/>
        <v>Cement Finisher Apprentice II (Next 696 hours)</v>
      </c>
      <c r="S12" s="321">
        <f t="shared" si="0"/>
        <v>26.731861529052672</v>
      </c>
      <c r="T12" s="321">
        <f>IF($P12="Y",((VLOOKUP($Q12,Rates2019,4,0)+LIUNA2020)*PercIncr2020)-LIUNA2020,VLOOKUP($Q12,Rates2019,4,0))</f>
        <v>27.544402250605149</v>
      </c>
      <c r="U12" s="321">
        <f>IF($P12="Y",((VLOOKUP($Q12,Rates2019,5,0)+LIUNA2020)*PercIncr2020)-LIUNA2020,VLOOKUP($Q12,Rates2019,5,0))</f>
        <v>28.381319193804188</v>
      </c>
      <c r="V12" s="321">
        <f>IF($P12="Y",((VLOOKUP($Q12,Rates2019,6,0)+LIUNA2020)*PercIncr2020)-LIUNA2020,VLOOKUP($Q12,Rates2019,6,0))</f>
        <v>29.243343645299209</v>
      </c>
      <c r="W12" s="321"/>
      <c r="X12" s="321"/>
      <c r="Y12" s="321"/>
    </row>
    <row r="13" spans="1:27">
      <c r="A13" s="219" t="s">
        <v>323</v>
      </c>
      <c r="B13" s="162">
        <v>280</v>
      </c>
      <c r="C13" s="162">
        <v>6</v>
      </c>
      <c r="D13" s="162" t="s">
        <v>17</v>
      </c>
      <c r="E13" s="162" t="s">
        <v>18</v>
      </c>
      <c r="F13" s="219" t="s">
        <v>19</v>
      </c>
      <c r="G13" s="162" t="s">
        <v>39</v>
      </c>
      <c r="H13" s="211" t="s">
        <v>40</v>
      </c>
      <c r="I13" s="269">
        <f t="shared" si="10"/>
        <v>27.911649536061255</v>
      </c>
      <c r="J13" s="269">
        <f t="shared" si="11"/>
        <v>28.724190257613731</v>
      </c>
      <c r="K13" s="269">
        <f t="shared" si="12"/>
        <v>29.561107200812771</v>
      </c>
      <c r="L13" s="269">
        <f t="shared" si="13"/>
        <v>30.423131652307791</v>
      </c>
      <c r="M13" s="269"/>
      <c r="N13" s="269"/>
      <c r="O13" s="220"/>
      <c r="P13" s="313" t="s">
        <v>445</v>
      </c>
      <c r="Q13" s="286" t="str">
        <f t="shared" si="5"/>
        <v>01587C</v>
      </c>
      <c r="R13" s="309" t="str">
        <f t="shared" si="6"/>
        <v>Cement Finisher Apprentice III (Next 696 hours)</v>
      </c>
      <c r="S13" s="321">
        <f t="shared" si="0"/>
        <v>27.911649536061255</v>
      </c>
      <c r="T13" s="321">
        <f>IF($P13="Y",((VLOOKUP($Q13,Rates2019,4,0)+LIUNA2020)*PercIncr2020)-LIUNA2020,VLOOKUP($Q13,Rates2019,4,0))</f>
        <v>28.724190257613731</v>
      </c>
      <c r="U13" s="321">
        <f>IF($P13="Y",((VLOOKUP($Q13,Rates2019,5,0)+LIUNA2020)*PercIncr2020)-LIUNA2020,VLOOKUP($Q13,Rates2019,5,0))</f>
        <v>29.561107200812771</v>
      </c>
      <c r="V13" s="321">
        <f>IF($P13="Y",((VLOOKUP($Q13,Rates2019,6,0)+LIUNA2020)*PercIncr2020)-LIUNA2020,VLOOKUP($Q13,Rates2019,6,0))</f>
        <v>30.423131652307791</v>
      </c>
      <c r="W13" s="321"/>
      <c r="X13" s="321"/>
      <c r="Y13" s="321"/>
    </row>
    <row r="14" spans="1:27">
      <c r="A14" s="219" t="s">
        <v>324</v>
      </c>
      <c r="B14" s="162">
        <v>280</v>
      </c>
      <c r="C14" s="162">
        <v>6</v>
      </c>
      <c r="D14" s="162" t="s">
        <v>17</v>
      </c>
      <c r="E14" s="162" t="s">
        <v>18</v>
      </c>
      <c r="F14" s="219" t="s">
        <v>19</v>
      </c>
      <c r="G14" s="162" t="s">
        <v>42</v>
      </c>
      <c r="H14" s="211" t="s">
        <v>43</v>
      </c>
      <c r="I14" s="269">
        <f t="shared" si="10"/>
        <v>28.843061120541719</v>
      </c>
      <c r="J14" s="269">
        <f t="shared" si="11"/>
        <v>29.655601842094196</v>
      </c>
      <c r="K14" s="269">
        <f t="shared" si="12"/>
        <v>30.492518785293239</v>
      </c>
      <c r="L14" s="269">
        <f t="shared" si="13"/>
        <v>31.354543236788249</v>
      </c>
      <c r="M14" s="269"/>
      <c r="N14" s="269"/>
      <c r="O14" s="220"/>
      <c r="P14" s="313" t="s">
        <v>445</v>
      </c>
      <c r="Q14" s="286" t="str">
        <f t="shared" si="5"/>
        <v>01588C</v>
      </c>
      <c r="R14" s="309" t="str">
        <f t="shared" si="6"/>
        <v>Cement Finisher Apprentice IV (Next 696 hours)</v>
      </c>
      <c r="S14" s="321">
        <f t="shared" si="0"/>
        <v>28.843061120541719</v>
      </c>
      <c r="T14" s="321">
        <f>IF($P14="Y",((VLOOKUP($Q14,Rates2019,4,0)+LIUNA2020)*PercIncr2020)-LIUNA2020,VLOOKUP($Q14,Rates2019,4,0))</f>
        <v>29.655601842094196</v>
      </c>
      <c r="U14" s="321">
        <f>IF($P14="Y",((VLOOKUP($Q14,Rates2019,5,0)+LIUNA2020)*PercIncr2020)-LIUNA2020,VLOOKUP($Q14,Rates2019,5,0))</f>
        <v>30.492518785293239</v>
      </c>
      <c r="V14" s="321">
        <f>IF($P14="Y",((VLOOKUP($Q14,Rates2019,6,0)+LIUNA2020)*PercIncr2020)-LIUNA2020,VLOOKUP($Q14,Rates2019,6,0))</f>
        <v>31.354543236788249</v>
      </c>
      <c r="W14" s="321"/>
      <c r="X14" s="321"/>
      <c r="Y14" s="321"/>
    </row>
    <row r="15" spans="1:27">
      <c r="A15" s="219" t="s">
        <v>52</v>
      </c>
      <c r="B15" s="162">
        <v>188</v>
      </c>
      <c r="C15" s="162">
        <v>4</v>
      </c>
      <c r="D15" s="162" t="s">
        <v>17</v>
      </c>
      <c r="E15" s="162" t="s">
        <v>18</v>
      </c>
      <c r="F15" s="219" t="s">
        <v>52</v>
      </c>
      <c r="G15" s="162" t="s">
        <v>53</v>
      </c>
      <c r="H15" s="211" t="s">
        <v>54</v>
      </c>
      <c r="I15" s="269">
        <f t="shared" si="1"/>
        <v>18.821258730845649</v>
      </c>
      <c r="J15" s="269">
        <f t="shared" si="11"/>
        <v>21.61016201364178</v>
      </c>
      <c r="K15" s="269">
        <f t="shared" si="12"/>
        <v>26.171955975749917</v>
      </c>
      <c r="L15" s="269"/>
      <c r="M15" s="269"/>
      <c r="N15" s="269"/>
      <c r="O15" s="220"/>
      <c r="P15" s="313" t="s">
        <v>445</v>
      </c>
      <c r="Q15" s="286" t="str">
        <f t="shared" si="5"/>
        <v>02616C</v>
      </c>
      <c r="R15" s="309" t="str">
        <f t="shared" si="6"/>
        <v>Constr Maint Labor WU Shop-C</v>
      </c>
      <c r="S15" s="321">
        <f t="shared" si="0"/>
        <v>18.821258730845649</v>
      </c>
      <c r="T15" s="321">
        <f>IF($P15="Y",((VLOOKUP($Q15,Rates2019,4,0)+LIUNA2020)*PercIncr2020)-LIUNA2020,VLOOKUP($Q15,Rates2019,4,0))</f>
        <v>21.61016201364178</v>
      </c>
      <c r="U15" s="321">
        <f>IF($P15="Y",((VLOOKUP($Q15,Rates2019,5,0)+LIUNA2020)*PercIncr2020)-LIUNA2020,VLOOKUP($Q15,Rates2019,5,0))</f>
        <v>26.171955975749917</v>
      </c>
      <c r="V15" s="321"/>
      <c r="W15" s="321"/>
      <c r="X15" s="321"/>
      <c r="Y15" s="321"/>
    </row>
    <row r="16" spans="1:27">
      <c r="A16" s="219" t="s">
        <v>332</v>
      </c>
      <c r="B16" s="162">
        <v>273</v>
      </c>
      <c r="C16" s="162">
        <v>6</v>
      </c>
      <c r="D16" s="162" t="s">
        <v>17</v>
      </c>
      <c r="E16" s="162" t="s">
        <v>18</v>
      </c>
      <c r="F16" s="219"/>
      <c r="G16" s="162" t="s">
        <v>377</v>
      </c>
      <c r="H16" s="211" t="s">
        <v>378</v>
      </c>
      <c r="I16" s="269">
        <f t="shared" si="1"/>
        <v>30.303010291499998</v>
      </c>
      <c r="J16" s="269"/>
      <c r="K16" s="269"/>
      <c r="L16" s="269"/>
      <c r="M16" s="269"/>
      <c r="N16" s="269"/>
      <c r="O16" s="220"/>
      <c r="P16" s="312" t="s">
        <v>445</v>
      </c>
      <c r="Q16" s="286" t="str">
        <f t="shared" si="5"/>
        <v>52921C</v>
      </c>
      <c r="R16" s="309" t="str">
        <f t="shared" si="6"/>
        <v>Construction Crew Leader</v>
      </c>
      <c r="S16" s="321">
        <f t="shared" si="0"/>
        <v>30.303010291499998</v>
      </c>
      <c r="T16" s="322"/>
      <c r="U16" s="322"/>
      <c r="V16" s="321"/>
      <c r="W16" s="321"/>
      <c r="X16" s="321"/>
      <c r="Y16" s="321"/>
      <c r="Z16" s="219"/>
    </row>
    <row r="17" spans="1:25">
      <c r="A17" s="219" t="s">
        <v>52</v>
      </c>
      <c r="B17" s="162">
        <v>188</v>
      </c>
      <c r="C17" s="162">
        <v>4</v>
      </c>
      <c r="D17" s="162" t="s">
        <v>17</v>
      </c>
      <c r="E17" s="162" t="s">
        <v>18</v>
      </c>
      <c r="F17" s="219" t="s">
        <v>52</v>
      </c>
      <c r="G17" s="162" t="s">
        <v>56</v>
      </c>
      <c r="H17" s="211" t="s">
        <v>57</v>
      </c>
      <c r="I17" s="269">
        <f t="shared" si="1"/>
        <v>18.821258730845649</v>
      </c>
      <c r="J17" s="269">
        <f t="shared" ref="J17:J18" si="14">T17</f>
        <v>21.61016201364178</v>
      </c>
      <c r="K17" s="269">
        <f t="shared" ref="K17:K18" si="15">U17</f>
        <v>26.171955975749917</v>
      </c>
      <c r="L17" s="269"/>
      <c r="M17" s="269"/>
      <c r="N17" s="269"/>
      <c r="O17" s="220"/>
      <c r="P17" s="313" t="s">
        <v>445</v>
      </c>
      <c r="Q17" s="286" t="str">
        <f t="shared" si="5"/>
        <v>02610C</v>
      </c>
      <c r="R17" s="309" t="str">
        <f t="shared" si="6"/>
        <v>Construction Maint Laborer</v>
      </c>
      <c r="S17" s="321">
        <f t="shared" si="0"/>
        <v>18.821258730845649</v>
      </c>
      <c r="T17" s="321">
        <f>IF($P17="Y",((VLOOKUP($Q17,Rates2019,4,0)+LIUNA2020)*PercIncr2020)-LIUNA2020,VLOOKUP($Q17,Rates2019,4,0))</f>
        <v>21.61016201364178</v>
      </c>
      <c r="U17" s="321">
        <f>IF($P17="Y",((VLOOKUP($Q17,Rates2019,5,0)+LIUNA2020)*PercIncr2020)-LIUNA2020,VLOOKUP($Q17,Rates2019,5,0))</f>
        <v>26.171955975749917</v>
      </c>
      <c r="V17" s="322"/>
      <c r="W17" s="321"/>
      <c r="X17" s="321"/>
      <c r="Y17" s="321"/>
    </row>
    <row r="18" spans="1:25">
      <c r="A18" s="219" t="s">
        <v>47</v>
      </c>
      <c r="B18" s="162">
        <v>153</v>
      </c>
      <c r="C18" s="162">
        <v>3</v>
      </c>
      <c r="D18" s="162" t="s">
        <v>17</v>
      </c>
      <c r="E18" s="162" t="s">
        <v>18</v>
      </c>
      <c r="F18" s="219" t="s">
        <v>47</v>
      </c>
      <c r="G18" s="162" t="s">
        <v>58</v>
      </c>
      <c r="H18" s="211" t="s">
        <v>59</v>
      </c>
      <c r="I18" s="269">
        <f t="shared" si="1"/>
        <v>15.605168330675491</v>
      </c>
      <c r="J18" s="269">
        <f t="shared" si="14"/>
        <v>18.170856723312237</v>
      </c>
      <c r="K18" s="269">
        <f t="shared" si="15"/>
        <v>19.221506120096983</v>
      </c>
      <c r="L18" s="269">
        <f t="shared" ref="L18" si="16">V18</f>
        <v>24.178416094671157</v>
      </c>
      <c r="M18" s="269"/>
      <c r="N18" s="269"/>
      <c r="O18" s="220"/>
      <c r="P18" s="313" t="s">
        <v>445</v>
      </c>
      <c r="Q18" s="286" t="str">
        <f t="shared" si="5"/>
        <v>05850C</v>
      </c>
      <c r="R18" s="309" t="str">
        <f t="shared" si="6"/>
        <v>Custodian Property Services</v>
      </c>
      <c r="S18" s="321">
        <f t="shared" si="0"/>
        <v>15.605168330675491</v>
      </c>
      <c r="T18" s="321">
        <f>IF($P18="Y",((VLOOKUP($Q18,Rates2019,4,0)+LIUNA2020)*PercIncr2020)-LIUNA2020,VLOOKUP($Q18,Rates2019,4,0))</f>
        <v>18.170856723312237</v>
      </c>
      <c r="U18" s="321">
        <f>IF($P18="Y",((VLOOKUP($Q18,Rates2019,5,0)+LIUNA2020)*PercIncr2020)-LIUNA2020,VLOOKUP($Q18,Rates2019,5,0))</f>
        <v>19.221506120096983</v>
      </c>
      <c r="V18" s="321">
        <f>IF($P18="Y",((VLOOKUP($Q18,Rates2019,6,0)+LIUNA2020)*PercIncr2020)-LIUNA2020,VLOOKUP($Q18,Rates2019,6,0))</f>
        <v>24.178416094671157</v>
      </c>
      <c r="W18" s="321"/>
      <c r="X18" s="321"/>
      <c r="Y18" s="321"/>
    </row>
    <row r="19" spans="1:25">
      <c r="A19" s="219" t="s">
        <v>47</v>
      </c>
      <c r="B19" s="162">
        <v>160</v>
      </c>
      <c r="C19" s="162">
        <v>3</v>
      </c>
      <c r="D19" s="162" t="s">
        <v>17</v>
      </c>
      <c r="E19" s="162" t="s">
        <v>18</v>
      </c>
      <c r="F19" s="219" t="s">
        <v>47</v>
      </c>
      <c r="G19" s="162" t="s">
        <v>60</v>
      </c>
      <c r="H19" s="211" t="s">
        <v>61</v>
      </c>
      <c r="I19" s="269">
        <f t="shared" ref="I19:I21" si="17">S19</f>
        <v>15.605168330675491</v>
      </c>
      <c r="J19" s="269">
        <f t="shared" ref="J19:J21" si="18">T19</f>
        <v>18.170856723312237</v>
      </c>
      <c r="K19" s="269">
        <f t="shared" ref="K19:K21" si="19">U19</f>
        <v>19.221506120096983</v>
      </c>
      <c r="L19" s="269">
        <f t="shared" ref="L19:L21" si="20">V19</f>
        <v>24.178416094671157</v>
      </c>
      <c r="M19" s="269"/>
      <c r="N19" s="269"/>
      <c r="O19" s="220"/>
      <c r="P19" s="313" t="s">
        <v>445</v>
      </c>
      <c r="Q19" s="286" t="str">
        <f t="shared" si="5"/>
        <v>02960C</v>
      </c>
      <c r="R19" s="309" t="str">
        <f t="shared" si="6"/>
        <v>Delivery Worker</v>
      </c>
      <c r="S19" s="321">
        <f t="shared" si="0"/>
        <v>15.605168330675491</v>
      </c>
      <c r="T19" s="321">
        <f>IF($P19="Y",((VLOOKUP($Q19,Rates2019,4,0)+LIUNA2020)*PercIncr2020)-LIUNA2020,VLOOKUP($Q19,Rates2019,4,0))</f>
        <v>18.170856723312237</v>
      </c>
      <c r="U19" s="321">
        <f>IF($P19="Y",((VLOOKUP($Q19,Rates2019,5,0)+LIUNA2020)*PercIncr2020)-LIUNA2020,VLOOKUP($Q19,Rates2019,5,0))</f>
        <v>19.221506120096983</v>
      </c>
      <c r="V19" s="321">
        <f>IF($P19="Y",((VLOOKUP($Q19,Rates2019,6,0)+LIUNA2020)*PercIncr2020)-LIUNA2020,VLOOKUP($Q19,Rates2019,6,0))</f>
        <v>24.178416094671157</v>
      </c>
      <c r="W19" s="321"/>
      <c r="X19" s="321"/>
      <c r="Y19" s="321"/>
    </row>
    <row r="20" spans="1:25">
      <c r="A20" s="219" t="s">
        <v>62</v>
      </c>
      <c r="B20" s="162">
        <v>190</v>
      </c>
      <c r="C20" s="162">
        <v>4</v>
      </c>
      <c r="D20" s="162" t="s">
        <v>17</v>
      </c>
      <c r="E20" s="162" t="s">
        <v>18</v>
      </c>
      <c r="F20" s="219" t="s">
        <v>62</v>
      </c>
      <c r="G20" s="162" t="s">
        <v>63</v>
      </c>
      <c r="H20" s="211" t="s">
        <v>64</v>
      </c>
      <c r="I20" s="269">
        <f t="shared" si="17"/>
        <v>16.097780502061749</v>
      </c>
      <c r="J20" s="269">
        <f t="shared" si="18"/>
        <v>18.748136611655507</v>
      </c>
      <c r="K20" s="269">
        <f t="shared" si="19"/>
        <v>21.575525220341188</v>
      </c>
      <c r="L20" s="269">
        <f t="shared" si="20"/>
        <v>26.064197063259169</v>
      </c>
      <c r="M20" s="269"/>
      <c r="N20" s="269"/>
      <c r="O20" s="220"/>
      <c r="P20" s="313" t="s">
        <v>445</v>
      </c>
      <c r="Q20" s="286" t="str">
        <f t="shared" si="5"/>
        <v>04170C</v>
      </c>
      <c r="R20" s="309" t="str">
        <f t="shared" si="6"/>
        <v>Equipment Service Worker</v>
      </c>
      <c r="S20" s="321">
        <f t="shared" si="0"/>
        <v>16.097780502061749</v>
      </c>
      <c r="T20" s="321">
        <f>IF($P20="Y",((VLOOKUP($Q20,Rates2019,4,0)+LIUNA2020)*PercIncr2020)-LIUNA2020,VLOOKUP($Q20,Rates2019,4,0))</f>
        <v>18.748136611655507</v>
      </c>
      <c r="U20" s="321">
        <f>IF($P20="Y",((VLOOKUP($Q20,Rates2019,5,0)+LIUNA2020)*PercIncr2020)-LIUNA2020,VLOOKUP($Q20,Rates2019,5,0))</f>
        <v>21.575525220341188</v>
      </c>
      <c r="V20" s="321">
        <f>IF($P20="Y",((VLOOKUP($Q20,Rates2019,6,0)+LIUNA2020)*PercIncr2020)-LIUNA2020,VLOOKUP($Q20,Rates2019,6,0))</f>
        <v>26.064197063259169</v>
      </c>
      <c r="W20" s="321"/>
      <c r="X20" s="321"/>
      <c r="Y20" s="321"/>
    </row>
    <row r="21" spans="1:25">
      <c r="A21" s="219" t="s">
        <v>65</v>
      </c>
      <c r="B21" s="162">
        <v>263</v>
      </c>
      <c r="C21" s="162">
        <v>5</v>
      </c>
      <c r="D21" s="162" t="s">
        <v>17</v>
      </c>
      <c r="E21" s="162" t="s">
        <v>18</v>
      </c>
      <c r="F21" s="219" t="s">
        <v>65</v>
      </c>
      <c r="G21" s="162" t="s">
        <v>66</v>
      </c>
      <c r="H21" s="211" t="s">
        <v>67</v>
      </c>
      <c r="I21" s="269">
        <f t="shared" si="17"/>
        <v>25.135417865124673</v>
      </c>
      <c r="J21" s="269">
        <f t="shared" si="18"/>
        <v>25.98209503469479</v>
      </c>
      <c r="K21" s="269">
        <f t="shared" si="19"/>
        <v>26.858277620780239</v>
      </c>
      <c r="L21" s="269">
        <f t="shared" si="20"/>
        <v>27.938432434080305</v>
      </c>
      <c r="M21" s="269"/>
      <c r="N21" s="269"/>
      <c r="O21" s="220"/>
      <c r="P21" s="313" t="s">
        <v>445</v>
      </c>
      <c r="Q21" s="286" t="str">
        <f t="shared" si="5"/>
        <v>05958C</v>
      </c>
      <c r="R21" s="309" t="str">
        <f t="shared" si="6"/>
        <v>Lead Custodian Property Services</v>
      </c>
      <c r="S21" s="321">
        <f t="shared" si="0"/>
        <v>25.135417865124673</v>
      </c>
      <c r="T21" s="321">
        <f>IF($P21="Y",((VLOOKUP($Q21,Rates2019,4,0)+LIUNA2020)*PercIncr2020)-LIUNA2020,VLOOKUP($Q21,Rates2019,4,0))</f>
        <v>25.98209503469479</v>
      </c>
      <c r="U21" s="321">
        <f>IF($P21="Y",((VLOOKUP($Q21,Rates2019,5,0)+LIUNA2020)*PercIncr2020)-LIUNA2020,VLOOKUP($Q21,Rates2019,5,0))</f>
        <v>26.858277620780239</v>
      </c>
      <c r="V21" s="321">
        <f>IF($P21="Y",((VLOOKUP($Q21,Rates2019,6,0)+LIUNA2020)*PercIncr2020)-LIUNA2020,VLOOKUP($Q21,Rates2019,6,0))</f>
        <v>27.938432434080305</v>
      </c>
      <c r="W21" s="321"/>
      <c r="X21" s="321"/>
      <c r="Y21" s="321"/>
    </row>
    <row r="22" spans="1:25">
      <c r="A22" s="219">
        <v>11</v>
      </c>
      <c r="B22" s="162">
        <v>205</v>
      </c>
      <c r="C22" s="162">
        <v>4</v>
      </c>
      <c r="D22" s="162" t="s">
        <v>17</v>
      </c>
      <c r="E22" s="162" t="s">
        <v>18</v>
      </c>
      <c r="F22" s="219">
        <v>11</v>
      </c>
      <c r="G22" s="162" t="s">
        <v>68</v>
      </c>
      <c r="H22" s="211" t="s">
        <v>325</v>
      </c>
      <c r="I22" s="269">
        <f t="shared" si="1"/>
        <v>28.542869369391294</v>
      </c>
      <c r="J22" s="269"/>
      <c r="K22" s="269"/>
      <c r="L22" s="269"/>
      <c r="M22" s="269"/>
      <c r="N22" s="269"/>
      <c r="O22" s="220"/>
      <c r="P22" s="312" t="s">
        <v>445</v>
      </c>
      <c r="Q22" s="286" t="str">
        <f t="shared" si="5"/>
        <v>06030C</v>
      </c>
      <c r="R22" s="309" t="str">
        <f t="shared" si="6"/>
        <v>Lead Pipe Layer I (Paving Const.)</v>
      </c>
      <c r="S22" s="321">
        <f t="shared" si="0"/>
        <v>28.542869369391294</v>
      </c>
      <c r="T22" s="321"/>
      <c r="U22" s="321"/>
      <c r="V22" s="321"/>
      <c r="W22" s="321"/>
      <c r="X22" s="321"/>
      <c r="Y22" s="321"/>
    </row>
    <row r="23" spans="1:25">
      <c r="A23" s="219" t="s">
        <v>319</v>
      </c>
      <c r="B23" s="162">
        <v>205</v>
      </c>
      <c r="C23" s="162">
        <v>4</v>
      </c>
      <c r="D23" s="162" t="s">
        <v>17</v>
      </c>
      <c r="E23" s="162" t="s">
        <v>18</v>
      </c>
      <c r="F23" s="219" t="s">
        <v>19</v>
      </c>
      <c r="G23" s="162" t="s">
        <v>71</v>
      </c>
      <c r="H23" s="223" t="s">
        <v>379</v>
      </c>
      <c r="I23" s="269">
        <f t="shared" si="1"/>
        <v>25.924638155836281</v>
      </c>
      <c r="J23" s="269">
        <f t="shared" ref="J23" si="21">T23</f>
        <v>26.73717887738875</v>
      </c>
      <c r="K23" s="269">
        <f t="shared" ref="K23" si="22">U23</f>
        <v>27.574095820587793</v>
      </c>
      <c r="L23" s="269">
        <f t="shared" ref="L23" si="23">V23</f>
        <v>28.436120272082814</v>
      </c>
      <c r="M23" s="269"/>
      <c r="N23" s="269"/>
      <c r="O23" s="220"/>
      <c r="P23" s="312" t="s">
        <v>445</v>
      </c>
      <c r="Q23" s="286" t="str">
        <f t="shared" si="5"/>
        <v>06035C</v>
      </c>
      <c r="R23" s="309" t="str">
        <f t="shared" si="6"/>
        <v>Lead Pipe Layer I (Paving Const.) Apprentice I (1st 522 hours)</v>
      </c>
      <c r="S23" s="321">
        <f t="shared" si="0"/>
        <v>25.924638155836281</v>
      </c>
      <c r="T23" s="321">
        <f>IF($P23="Y",((VLOOKUP($Q23,Rates2019,4,0)+LIUNA2020)*PercIncr2020)-LIUNA2020,VLOOKUP($Q23,Rates2019,4,0))</f>
        <v>26.73717887738875</v>
      </c>
      <c r="U23" s="321">
        <f>IF($P23="Y",((VLOOKUP($Q23,Rates2019,5,0)+LIUNA2020)*PercIncr2020)-LIUNA2020,VLOOKUP($Q23,Rates2019,5,0))</f>
        <v>27.574095820587793</v>
      </c>
      <c r="V23" s="321">
        <f>IF($P23="Y",((VLOOKUP($Q23,Rates2019,6,0)+LIUNA2020)*PercIncr2020)-LIUNA2020,VLOOKUP($Q23,Rates2019,6,0))</f>
        <v>28.436120272082814</v>
      </c>
      <c r="W23" s="321"/>
      <c r="X23" s="321"/>
      <c r="Y23" s="321"/>
    </row>
    <row r="24" spans="1:25">
      <c r="A24" s="219" t="s">
        <v>321</v>
      </c>
      <c r="B24" s="162">
        <v>205</v>
      </c>
      <c r="C24" s="162">
        <v>4</v>
      </c>
      <c r="D24" s="162" t="s">
        <v>17</v>
      </c>
      <c r="E24" s="162" t="s">
        <v>18</v>
      </c>
      <c r="F24" s="219" t="s">
        <v>19</v>
      </c>
      <c r="G24" s="162" t="s">
        <v>74</v>
      </c>
      <c r="H24" s="223" t="s">
        <v>326</v>
      </c>
      <c r="I24" s="269">
        <f t="shared" ref="I24" si="24">S24</f>
        <v>26.359296895260496</v>
      </c>
      <c r="J24" s="269">
        <f t="shared" ref="J24" si="25">T24</f>
        <v>27.171837616812969</v>
      </c>
      <c r="K24" s="269">
        <f t="shared" ref="K24" si="26">U24</f>
        <v>28.008754560012008</v>
      </c>
      <c r="L24" s="269">
        <f t="shared" ref="L24" si="27">V24</f>
        <v>28.870779011507022</v>
      </c>
      <c r="M24" s="269"/>
      <c r="N24" s="269"/>
      <c r="O24" s="220"/>
      <c r="P24" s="312" t="s">
        <v>445</v>
      </c>
      <c r="Q24" s="286" t="str">
        <f t="shared" si="5"/>
        <v>06037C</v>
      </c>
      <c r="R24" s="309" t="str">
        <f t="shared" si="6"/>
        <v>Lead Pipe Layer I (Paving Const.) Apprentice II (2nd 522 hours)</v>
      </c>
      <c r="S24" s="321">
        <f t="shared" si="0"/>
        <v>26.359296895260496</v>
      </c>
      <c r="T24" s="321">
        <f>IF($P24="Y",((VLOOKUP($Q24,Rates2019,4,0)+LIUNA2020)*PercIncr2020)-LIUNA2020,VLOOKUP($Q24,Rates2019,4,0))</f>
        <v>27.171837616812969</v>
      </c>
      <c r="U24" s="321">
        <f>IF($P24="Y",((VLOOKUP($Q24,Rates2019,5,0)+LIUNA2020)*PercIncr2020)-LIUNA2020,VLOOKUP($Q24,Rates2019,5,0))</f>
        <v>28.008754560012008</v>
      </c>
      <c r="V24" s="321">
        <f>IF($P24="Y",((VLOOKUP($Q24,Rates2019,6,0)+LIUNA2020)*PercIncr2020)-LIUNA2020,VLOOKUP($Q24,Rates2019,6,0))</f>
        <v>28.870779011507022</v>
      </c>
      <c r="W24" s="321"/>
      <c r="X24" s="321"/>
      <c r="Y24" s="321"/>
    </row>
    <row r="25" spans="1:25">
      <c r="A25" s="219" t="s">
        <v>76</v>
      </c>
      <c r="B25" s="162">
        <v>205</v>
      </c>
      <c r="C25" s="162">
        <v>4</v>
      </c>
      <c r="D25" s="162" t="s">
        <v>17</v>
      </c>
      <c r="E25" s="162" t="s">
        <v>18</v>
      </c>
      <c r="F25" s="219" t="s">
        <v>76</v>
      </c>
      <c r="G25" s="162" t="s">
        <v>77</v>
      </c>
      <c r="H25" s="211" t="s">
        <v>327</v>
      </c>
      <c r="I25" s="269">
        <f t="shared" si="1"/>
        <v>28.835900783595868</v>
      </c>
      <c r="J25" s="269"/>
      <c r="K25" s="269"/>
      <c r="L25" s="269"/>
      <c r="M25" s="269"/>
      <c r="N25" s="269"/>
      <c r="O25" s="220"/>
      <c r="P25" s="312" t="s">
        <v>445</v>
      </c>
      <c r="Q25" s="286" t="str">
        <f t="shared" si="5"/>
        <v>06050C</v>
      </c>
      <c r="R25" s="309" t="str">
        <f t="shared" si="6"/>
        <v>Lead Pipe Layer II (Water Const.)</v>
      </c>
      <c r="S25" s="321">
        <f t="shared" si="0"/>
        <v>28.835900783595868</v>
      </c>
      <c r="T25" s="323"/>
      <c r="U25" s="321"/>
      <c r="V25" s="322"/>
      <c r="W25" s="321"/>
      <c r="X25" s="321"/>
      <c r="Y25" s="321"/>
    </row>
    <row r="26" spans="1:25">
      <c r="A26" s="219" t="s">
        <v>319</v>
      </c>
      <c r="B26" s="162">
        <v>205</v>
      </c>
      <c r="C26" s="162">
        <v>4</v>
      </c>
      <c r="D26" s="162" t="s">
        <v>17</v>
      </c>
      <c r="E26" s="162" t="s">
        <v>18</v>
      </c>
      <c r="F26" s="219" t="s">
        <v>19</v>
      </c>
      <c r="G26" s="162" t="s">
        <v>80</v>
      </c>
      <c r="H26" s="223" t="s">
        <v>328</v>
      </c>
      <c r="I26" s="269">
        <f t="shared" si="1"/>
        <v>25.924638155836281</v>
      </c>
      <c r="J26" s="269">
        <f t="shared" ref="J26" si="28">T26</f>
        <v>26.73717887738875</v>
      </c>
      <c r="K26" s="269">
        <f t="shared" ref="K26" si="29">U26</f>
        <v>27.574095820587793</v>
      </c>
      <c r="L26" s="269">
        <f t="shared" ref="L26" si="30">V26</f>
        <v>28.436120272082814</v>
      </c>
      <c r="M26" s="269"/>
      <c r="N26" s="269"/>
      <c r="O26" s="220"/>
      <c r="P26" s="312" t="s">
        <v>445</v>
      </c>
      <c r="Q26" s="286" t="str">
        <f t="shared" si="5"/>
        <v>06056C</v>
      </c>
      <c r="R26" s="309" t="str">
        <f t="shared" si="6"/>
        <v>Lead Pipe Layer II (Water Const.) Apprentice I (1st 522 hours)</v>
      </c>
      <c r="S26" s="321">
        <f t="shared" si="0"/>
        <v>25.924638155836281</v>
      </c>
      <c r="T26" s="321">
        <f>IF($P26="Y",((VLOOKUP($Q26,Rates2019,4,0)+LIUNA2020)*PercIncr2020)-LIUNA2020,VLOOKUP($Q26,Rates2019,4,0))</f>
        <v>26.73717887738875</v>
      </c>
      <c r="U26" s="321">
        <f>IF($P26="Y",((VLOOKUP($Q26,Rates2019,5,0)+LIUNA2020)*PercIncr2020)-LIUNA2020,VLOOKUP($Q26,Rates2019,5,0))</f>
        <v>27.574095820587793</v>
      </c>
      <c r="V26" s="321">
        <f>IF($P26="Y",((VLOOKUP($Q26,Rates2019,6,0)+LIUNA2020)*PercIncr2020)-LIUNA2020,VLOOKUP($Q26,Rates2019,6,0))</f>
        <v>28.436120272082814</v>
      </c>
      <c r="W26" s="321"/>
      <c r="X26" s="321"/>
      <c r="Y26" s="321"/>
    </row>
    <row r="27" spans="1:25">
      <c r="A27" s="219" t="s">
        <v>321</v>
      </c>
      <c r="B27" s="162">
        <v>205</v>
      </c>
      <c r="C27" s="162">
        <v>4</v>
      </c>
      <c r="D27" s="162" t="s">
        <v>17</v>
      </c>
      <c r="E27" s="162" t="s">
        <v>18</v>
      </c>
      <c r="F27" s="219" t="s">
        <v>19</v>
      </c>
      <c r="G27" s="162" t="s">
        <v>83</v>
      </c>
      <c r="H27" s="223" t="s">
        <v>329</v>
      </c>
      <c r="I27" s="269">
        <f t="shared" ref="I27:I28" si="31">S27</f>
        <v>26.359296895260496</v>
      </c>
      <c r="J27" s="269">
        <f t="shared" ref="J27:J28" si="32">T27</f>
        <v>27.171837616812969</v>
      </c>
      <c r="K27" s="269">
        <f t="shared" ref="K27:K28" si="33">U27</f>
        <v>28.008754560012008</v>
      </c>
      <c r="L27" s="269">
        <f t="shared" ref="L27:L28" si="34">V27</f>
        <v>28.870779011507022</v>
      </c>
      <c r="M27" s="269"/>
      <c r="N27" s="269"/>
      <c r="O27" s="220"/>
      <c r="P27" s="312" t="s">
        <v>445</v>
      </c>
      <c r="Q27" s="286" t="str">
        <f t="shared" si="5"/>
        <v>06057C</v>
      </c>
      <c r="R27" s="309" t="str">
        <f t="shared" si="6"/>
        <v>Lead Pipe Layer II (Water Const.) Apprentice II (2nd 522 hours)</v>
      </c>
      <c r="S27" s="321">
        <f t="shared" si="0"/>
        <v>26.359296895260496</v>
      </c>
      <c r="T27" s="321">
        <f>IF($P27="Y",((VLOOKUP($Q27,Rates2019,4,0)+LIUNA2020)*PercIncr2020)-LIUNA2020,VLOOKUP($Q27,Rates2019,4,0))</f>
        <v>27.171837616812969</v>
      </c>
      <c r="U27" s="321">
        <f>IF($P27="Y",((VLOOKUP($Q27,Rates2019,5,0)+LIUNA2020)*PercIncr2020)-LIUNA2020,VLOOKUP($Q27,Rates2019,5,0))</f>
        <v>28.008754560012008</v>
      </c>
      <c r="V27" s="321">
        <f>IF($P27="Y",((VLOOKUP($Q27,Rates2019,6,0)+LIUNA2020)*PercIncr2020)-LIUNA2020,VLOOKUP($Q27,Rates2019,6,0))</f>
        <v>28.870779011507022</v>
      </c>
      <c r="W27" s="321"/>
      <c r="X27" s="321"/>
      <c r="Y27" s="321"/>
    </row>
    <row r="28" spans="1:25">
      <c r="A28" s="219" t="s">
        <v>330</v>
      </c>
      <c r="B28" s="162">
        <v>205</v>
      </c>
      <c r="C28" s="162">
        <v>4</v>
      </c>
      <c r="D28" s="162" t="s">
        <v>17</v>
      </c>
      <c r="E28" s="162" t="s">
        <v>18</v>
      </c>
      <c r="F28" s="219" t="s">
        <v>19</v>
      </c>
      <c r="G28" s="162" t="s">
        <v>86</v>
      </c>
      <c r="H28" s="223" t="s">
        <v>331</v>
      </c>
      <c r="I28" s="269">
        <f t="shared" si="31"/>
        <v>26.607673317788613</v>
      </c>
      <c r="J28" s="269">
        <f t="shared" si="32"/>
        <v>27.420214039341083</v>
      </c>
      <c r="K28" s="269">
        <f t="shared" si="33"/>
        <v>28.257130982540126</v>
      </c>
      <c r="L28" s="269">
        <f t="shared" si="34"/>
        <v>29.119155434035147</v>
      </c>
      <c r="M28" s="269"/>
      <c r="N28" s="269"/>
      <c r="O28" s="220"/>
      <c r="P28" s="312" t="s">
        <v>445</v>
      </c>
      <c r="Q28" s="286" t="str">
        <f t="shared" si="5"/>
        <v>06058C</v>
      </c>
      <c r="R28" s="309" t="str">
        <f t="shared" si="6"/>
        <v>Lead Pipe Layer II (Water Const.) Apprentice III (3rd 522 hours)</v>
      </c>
      <c r="S28" s="321">
        <f t="shared" si="0"/>
        <v>26.607673317788613</v>
      </c>
      <c r="T28" s="321">
        <f>IF($P28="Y",((VLOOKUP($Q28,Rates2019,4,0)+LIUNA2020)*PercIncr2020)-LIUNA2020,VLOOKUP($Q28,Rates2019,4,0))</f>
        <v>27.420214039341083</v>
      </c>
      <c r="U28" s="321">
        <f>IF($P28="Y",((VLOOKUP($Q28,Rates2019,5,0)+LIUNA2020)*PercIncr2020)-LIUNA2020,VLOOKUP($Q28,Rates2019,5,0))</f>
        <v>28.257130982540126</v>
      </c>
      <c r="V28" s="321">
        <f>IF($P28="Y",((VLOOKUP($Q28,Rates2019,6,0)+LIUNA2020)*PercIncr2020)-LIUNA2020,VLOOKUP($Q28,Rates2019,6,0))</f>
        <v>29.119155434035147</v>
      </c>
      <c r="W28" s="321"/>
      <c r="X28" s="321"/>
      <c r="Y28" s="321"/>
    </row>
    <row r="29" spans="1:25">
      <c r="A29" s="219" t="s">
        <v>332</v>
      </c>
      <c r="B29" s="162">
        <v>205</v>
      </c>
      <c r="C29" s="162">
        <v>4</v>
      </c>
      <c r="D29" s="162" t="s">
        <v>17</v>
      </c>
      <c r="E29" s="162" t="s">
        <v>18</v>
      </c>
      <c r="F29" s="219" t="s">
        <v>88</v>
      </c>
      <c r="G29" s="162" t="s">
        <v>90</v>
      </c>
      <c r="H29" s="223" t="s">
        <v>333</v>
      </c>
      <c r="I29" s="269">
        <f t="shared" si="1"/>
        <v>30.303010097035003</v>
      </c>
      <c r="J29" s="269"/>
      <c r="K29" s="269"/>
      <c r="L29" s="269"/>
      <c r="M29" s="269"/>
      <c r="N29" s="269"/>
      <c r="O29" s="220"/>
      <c r="P29" s="312" t="s">
        <v>445</v>
      </c>
      <c r="Q29" s="286" t="str">
        <f t="shared" si="5"/>
        <v>06066C</v>
      </c>
      <c r="R29" s="309" t="str">
        <f t="shared" si="6"/>
        <v>Lead Pipe Layer III (Sewer Const.)</v>
      </c>
      <c r="S29" s="321">
        <f t="shared" si="0"/>
        <v>30.303010097035003</v>
      </c>
      <c r="T29" s="321"/>
      <c r="U29" s="321"/>
      <c r="V29" s="322"/>
      <c r="W29" s="321"/>
      <c r="X29" s="321"/>
      <c r="Y29" s="321"/>
    </row>
    <row r="30" spans="1:25">
      <c r="A30" s="219" t="s">
        <v>319</v>
      </c>
      <c r="B30" s="162">
        <v>205</v>
      </c>
      <c r="C30" s="162">
        <v>4</v>
      </c>
      <c r="D30" s="162" t="s">
        <v>17</v>
      </c>
      <c r="E30" s="162" t="s">
        <v>18</v>
      </c>
      <c r="F30" s="219" t="s">
        <v>19</v>
      </c>
      <c r="G30" s="162" t="s">
        <v>93</v>
      </c>
      <c r="H30" s="223" t="s">
        <v>334</v>
      </c>
      <c r="I30" s="269">
        <f t="shared" si="1"/>
        <v>25.924638155836281</v>
      </c>
      <c r="J30" s="269">
        <f t="shared" ref="J30" si="35">T30</f>
        <v>26.73717887738875</v>
      </c>
      <c r="K30" s="269">
        <f t="shared" ref="K30" si="36">U30</f>
        <v>27.574095820587793</v>
      </c>
      <c r="L30" s="269">
        <f t="shared" ref="L30" si="37">V30</f>
        <v>28.436120272082814</v>
      </c>
      <c r="M30" s="269"/>
      <c r="N30" s="269"/>
      <c r="O30" s="220"/>
      <c r="P30" s="312" t="s">
        <v>445</v>
      </c>
      <c r="Q30" s="286" t="str">
        <f t="shared" si="5"/>
        <v>06067C</v>
      </c>
      <c r="R30" s="309" t="str">
        <f t="shared" si="6"/>
        <v>Lead Pipe Layer III (Sewer Const.) Apprentice I (1st 522 hours)</v>
      </c>
      <c r="S30" s="321">
        <f t="shared" si="0"/>
        <v>25.924638155836281</v>
      </c>
      <c r="T30" s="321">
        <f>IF($P30="Y",((VLOOKUP($Q30,Rates2019,4,0)+LIUNA2020)*PercIncr2020)-LIUNA2020,VLOOKUP($Q30,Rates2019,4,0))</f>
        <v>26.73717887738875</v>
      </c>
      <c r="U30" s="321">
        <f>IF($P30="Y",((VLOOKUP($Q30,Rates2019,5,0)+LIUNA2020)*PercIncr2020)-LIUNA2020,VLOOKUP($Q30,Rates2019,5,0))</f>
        <v>27.574095820587793</v>
      </c>
      <c r="V30" s="321">
        <f>IF($P30="Y",((VLOOKUP($Q30,Rates2019,6,0)+LIUNA2020)*PercIncr2020)-LIUNA2020,VLOOKUP($Q30,Rates2019,6,0))</f>
        <v>28.436120272082814</v>
      </c>
      <c r="W30" s="321"/>
      <c r="X30" s="321"/>
      <c r="Y30" s="321"/>
    </row>
    <row r="31" spans="1:25">
      <c r="A31" s="219" t="s">
        <v>321</v>
      </c>
      <c r="B31" s="162">
        <v>205</v>
      </c>
      <c r="C31" s="162">
        <v>4</v>
      </c>
      <c r="D31" s="162" t="s">
        <v>17</v>
      </c>
      <c r="E31" s="162" t="s">
        <v>18</v>
      </c>
      <c r="F31" s="219" t="s">
        <v>19</v>
      </c>
      <c r="G31" s="162" t="s">
        <v>96</v>
      </c>
      <c r="H31" s="223" t="s">
        <v>335</v>
      </c>
      <c r="I31" s="269">
        <f t="shared" ref="I31:I32" si="38">S31</f>
        <v>26.359296895260496</v>
      </c>
      <c r="J31" s="269">
        <f t="shared" ref="J31:J32" si="39">T31</f>
        <v>27.171837616812969</v>
      </c>
      <c r="K31" s="269">
        <f t="shared" ref="K31:K32" si="40">U31</f>
        <v>28.008754560012008</v>
      </c>
      <c r="L31" s="269">
        <f t="shared" ref="L31:L32" si="41">V31</f>
        <v>28.870779011507022</v>
      </c>
      <c r="M31" s="269"/>
      <c r="N31" s="269"/>
      <c r="O31" s="220"/>
      <c r="P31" s="312" t="s">
        <v>445</v>
      </c>
      <c r="Q31" s="286" t="str">
        <f t="shared" si="5"/>
        <v>06068C</v>
      </c>
      <c r="R31" s="309" t="str">
        <f t="shared" si="6"/>
        <v>Lead Pipe Layer III (Sewer Const.) Apprentice II (2nd 522 hours)</v>
      </c>
      <c r="S31" s="321">
        <f t="shared" si="0"/>
        <v>26.359296895260496</v>
      </c>
      <c r="T31" s="321">
        <f>IF($P31="Y",((VLOOKUP($Q31,Rates2019,4,0)+LIUNA2020)*PercIncr2020)-LIUNA2020,VLOOKUP($Q31,Rates2019,4,0))</f>
        <v>27.171837616812969</v>
      </c>
      <c r="U31" s="321">
        <f>IF($P31="Y",((VLOOKUP($Q31,Rates2019,5,0)+LIUNA2020)*PercIncr2020)-LIUNA2020,VLOOKUP($Q31,Rates2019,5,0))</f>
        <v>28.008754560012008</v>
      </c>
      <c r="V31" s="321">
        <f>IF($P31="Y",((VLOOKUP($Q31,Rates2019,6,0)+LIUNA2020)*PercIncr2020)-LIUNA2020,VLOOKUP($Q31,Rates2019,6,0))</f>
        <v>28.870779011507022</v>
      </c>
      <c r="W31" s="321"/>
      <c r="X31" s="321"/>
      <c r="Y31" s="321"/>
    </row>
    <row r="32" spans="1:25">
      <c r="A32" s="219" t="s">
        <v>330</v>
      </c>
      <c r="B32" s="162">
        <v>205</v>
      </c>
      <c r="C32" s="162">
        <v>4</v>
      </c>
      <c r="D32" s="162" t="s">
        <v>17</v>
      </c>
      <c r="E32" s="162" t="s">
        <v>18</v>
      </c>
      <c r="F32" s="219" t="s">
        <v>19</v>
      </c>
      <c r="G32" s="162" t="s">
        <v>99</v>
      </c>
      <c r="H32" s="223" t="s">
        <v>336</v>
      </c>
      <c r="I32" s="269">
        <f t="shared" si="38"/>
        <v>26.607673317788613</v>
      </c>
      <c r="J32" s="269">
        <f t="shared" si="39"/>
        <v>27.420214039341083</v>
      </c>
      <c r="K32" s="269">
        <f t="shared" si="40"/>
        <v>28.257130982540126</v>
      </c>
      <c r="L32" s="269">
        <f t="shared" si="41"/>
        <v>29.119155434035147</v>
      </c>
      <c r="M32" s="269"/>
      <c r="N32" s="269"/>
      <c r="O32" s="220"/>
      <c r="P32" s="312" t="s">
        <v>445</v>
      </c>
      <c r="Q32" s="286" t="str">
        <f t="shared" si="5"/>
        <v>06069C</v>
      </c>
      <c r="R32" s="309" t="str">
        <f t="shared" si="6"/>
        <v>Lead Pipe Layer III (Sewer Const.) Apprentice III (3rd 522 hours)</v>
      </c>
      <c r="S32" s="321">
        <f t="shared" si="0"/>
        <v>26.607673317788613</v>
      </c>
      <c r="T32" s="321">
        <f>IF($P32="Y",((VLOOKUP($Q32,Rates2019,4,0)+LIUNA2020)*PercIncr2020)-LIUNA2020,VLOOKUP($Q32,Rates2019,4,0))</f>
        <v>27.420214039341083</v>
      </c>
      <c r="U32" s="321">
        <f>IF($P32="Y",((VLOOKUP($Q32,Rates2019,5,0)+LIUNA2020)*PercIncr2020)-LIUNA2020,VLOOKUP($Q32,Rates2019,5,0))</f>
        <v>28.257130982540126</v>
      </c>
      <c r="V32" s="321">
        <f>IF($P32="Y",((VLOOKUP($Q32,Rates2019,6,0)+LIUNA2020)*PercIncr2020)-LIUNA2020,VLOOKUP($Q32,Rates2019,6,0))</f>
        <v>29.119155434035147</v>
      </c>
      <c r="W32" s="321"/>
      <c r="X32" s="321"/>
      <c r="Y32" s="321"/>
    </row>
    <row r="33" spans="1:26">
      <c r="A33" s="219" t="s">
        <v>332</v>
      </c>
      <c r="B33" s="162">
        <v>273</v>
      </c>
      <c r="C33" s="162">
        <v>6</v>
      </c>
      <c r="D33" s="162" t="s">
        <v>17</v>
      </c>
      <c r="E33" s="162" t="s">
        <v>18</v>
      </c>
      <c r="F33" s="219">
        <v>19</v>
      </c>
      <c r="G33" s="162" t="s">
        <v>101</v>
      </c>
      <c r="H33" s="211" t="s">
        <v>102</v>
      </c>
      <c r="I33" s="269">
        <f t="shared" si="1"/>
        <v>30.303010097035003</v>
      </c>
      <c r="J33" s="269"/>
      <c r="K33" s="269"/>
      <c r="L33" s="269"/>
      <c r="M33" s="269"/>
      <c r="N33" s="269"/>
      <c r="O33" s="220"/>
      <c r="P33" s="312" t="s">
        <v>445</v>
      </c>
      <c r="Q33" s="286" t="str">
        <f t="shared" si="5"/>
        <v>06462C</v>
      </c>
      <c r="R33" s="309" t="str">
        <f t="shared" si="6"/>
        <v>Maintenance Crew Ldr - Bridge</v>
      </c>
      <c r="S33" s="321">
        <f t="shared" si="0"/>
        <v>30.303010097035003</v>
      </c>
      <c r="T33" s="321"/>
      <c r="U33" s="321"/>
      <c r="V33" s="322"/>
      <c r="W33" s="321"/>
      <c r="X33" s="321"/>
      <c r="Y33" s="321"/>
    </row>
    <row r="34" spans="1:26">
      <c r="A34" s="219" t="s">
        <v>332</v>
      </c>
      <c r="B34" s="162">
        <v>273</v>
      </c>
      <c r="C34" s="162">
        <v>6</v>
      </c>
      <c r="D34" s="162" t="s">
        <v>17</v>
      </c>
      <c r="E34" s="162" t="s">
        <v>18</v>
      </c>
      <c r="F34" s="219" t="s">
        <v>88</v>
      </c>
      <c r="G34" s="162" t="s">
        <v>103</v>
      </c>
      <c r="H34" s="211" t="s">
        <v>104</v>
      </c>
      <c r="I34" s="269">
        <f t="shared" si="1"/>
        <v>30.303010097035003</v>
      </c>
      <c r="J34" s="269"/>
      <c r="K34" s="269"/>
      <c r="L34" s="269"/>
      <c r="M34" s="269"/>
      <c r="N34" s="269"/>
      <c r="O34" s="220"/>
      <c r="P34" s="312" t="s">
        <v>445</v>
      </c>
      <c r="Q34" s="286" t="str">
        <f t="shared" si="5"/>
        <v>06464C</v>
      </c>
      <c r="R34" s="309" t="str">
        <f t="shared" si="6"/>
        <v>Maintenance Crew Ldr - Sewer</v>
      </c>
      <c r="S34" s="321">
        <f t="shared" si="0"/>
        <v>30.303010097035003</v>
      </c>
      <c r="T34" s="321"/>
      <c r="U34" s="321"/>
      <c r="V34" s="322"/>
      <c r="W34" s="321"/>
      <c r="X34" s="321"/>
      <c r="Y34" s="321"/>
    </row>
    <row r="35" spans="1:26">
      <c r="A35" s="219" t="s">
        <v>332</v>
      </c>
      <c r="B35" s="162">
        <v>273</v>
      </c>
      <c r="C35" s="162">
        <v>6</v>
      </c>
      <c r="D35" s="162" t="s">
        <v>17</v>
      </c>
      <c r="E35" s="162" t="s">
        <v>18</v>
      </c>
      <c r="F35" s="219">
        <v>19</v>
      </c>
      <c r="G35" s="162" t="s">
        <v>105</v>
      </c>
      <c r="H35" s="211" t="s">
        <v>106</v>
      </c>
      <c r="I35" s="269">
        <f t="shared" si="1"/>
        <v>30.303010097035003</v>
      </c>
      <c r="J35" s="269"/>
      <c r="K35" s="269"/>
      <c r="L35" s="269"/>
      <c r="M35" s="269"/>
      <c r="N35" s="269"/>
      <c r="O35" s="220"/>
      <c r="P35" s="312" t="s">
        <v>445</v>
      </c>
      <c r="Q35" s="286" t="str">
        <f t="shared" si="5"/>
        <v>06465C</v>
      </c>
      <c r="R35" s="309" t="str">
        <f t="shared" si="6"/>
        <v>Maintenance Crew Ldr - Sol Waste</v>
      </c>
      <c r="S35" s="321">
        <f t="shared" si="0"/>
        <v>30.303010097035003</v>
      </c>
      <c r="T35" s="321"/>
      <c r="U35" s="321"/>
      <c r="V35" s="322"/>
      <c r="W35" s="321"/>
      <c r="X35" s="321"/>
      <c r="Y35" s="321"/>
    </row>
    <row r="36" spans="1:26">
      <c r="A36" s="219" t="s">
        <v>332</v>
      </c>
      <c r="B36" s="162">
        <v>273</v>
      </c>
      <c r="C36" s="162">
        <v>6</v>
      </c>
      <c r="D36" s="162" t="s">
        <v>17</v>
      </c>
      <c r="E36" s="162" t="s">
        <v>18</v>
      </c>
      <c r="F36" s="219">
        <v>19</v>
      </c>
      <c r="G36" s="162" t="s">
        <v>107</v>
      </c>
      <c r="H36" s="211" t="s">
        <v>108</v>
      </c>
      <c r="I36" s="269">
        <f t="shared" si="1"/>
        <v>30.303010097035003</v>
      </c>
      <c r="J36" s="269"/>
      <c r="K36" s="269"/>
      <c r="L36" s="269"/>
      <c r="M36" s="269"/>
      <c r="N36" s="269"/>
      <c r="O36" s="220"/>
      <c r="P36" s="312" t="s">
        <v>445</v>
      </c>
      <c r="Q36" s="286" t="str">
        <f t="shared" si="5"/>
        <v>06466C</v>
      </c>
      <c r="R36" s="309" t="str">
        <f t="shared" si="6"/>
        <v>Maintenance Crew Ldr - Streets</v>
      </c>
      <c r="S36" s="321">
        <f t="shared" si="0"/>
        <v>30.303010097035003</v>
      </c>
      <c r="T36" s="321"/>
      <c r="U36" s="321"/>
      <c r="V36" s="322"/>
      <c r="W36" s="321"/>
      <c r="X36" s="321"/>
      <c r="Y36" s="321"/>
    </row>
    <row r="37" spans="1:26">
      <c r="A37" s="219" t="s">
        <v>332</v>
      </c>
      <c r="B37" s="162">
        <v>273</v>
      </c>
      <c r="C37" s="162">
        <v>6</v>
      </c>
      <c r="D37" s="162" t="s">
        <v>17</v>
      </c>
      <c r="E37" s="162" t="s">
        <v>18</v>
      </c>
      <c r="F37" s="219">
        <v>19</v>
      </c>
      <c r="G37" s="162" t="s">
        <v>109</v>
      </c>
      <c r="H37" s="211" t="s">
        <v>110</v>
      </c>
      <c r="I37" s="269">
        <f t="shared" si="1"/>
        <v>30.303010097035003</v>
      </c>
      <c r="J37" s="269"/>
      <c r="K37" s="269"/>
      <c r="L37" s="269"/>
      <c r="M37" s="269"/>
      <c r="N37" s="269"/>
      <c r="O37" s="220"/>
      <c r="P37" s="312" t="s">
        <v>445</v>
      </c>
      <c r="Q37" s="286" t="str">
        <f t="shared" si="5"/>
        <v>06468C</v>
      </c>
      <c r="R37" s="309" t="str">
        <f t="shared" si="6"/>
        <v>Maintenance Crew Ldr - Traffic</v>
      </c>
      <c r="S37" s="321">
        <f t="shared" si="0"/>
        <v>30.303010097035003</v>
      </c>
      <c r="T37" s="321"/>
      <c r="U37" s="321"/>
      <c r="V37" s="322"/>
      <c r="W37" s="321"/>
      <c r="X37" s="321"/>
      <c r="Y37" s="321"/>
    </row>
    <row r="38" spans="1:26">
      <c r="A38" s="219" t="s">
        <v>111</v>
      </c>
      <c r="B38" s="162">
        <v>238</v>
      </c>
      <c r="C38" s="162">
        <v>5</v>
      </c>
      <c r="D38" s="162" t="s">
        <v>17</v>
      </c>
      <c r="E38" s="162" t="s">
        <v>18</v>
      </c>
      <c r="F38" s="219" t="s">
        <v>111</v>
      </c>
      <c r="G38" s="162" t="s">
        <v>112</v>
      </c>
      <c r="H38" s="211" t="s">
        <v>113</v>
      </c>
      <c r="I38" s="269">
        <f t="shared" si="1"/>
        <v>28.249837955186717</v>
      </c>
      <c r="J38" s="269"/>
      <c r="K38" s="269"/>
      <c r="L38" s="269"/>
      <c r="M38" s="269"/>
      <c r="N38" s="269"/>
      <c r="O38" s="220"/>
      <c r="P38" s="312" t="s">
        <v>445</v>
      </c>
      <c r="Q38" s="286" t="str">
        <f t="shared" si="5"/>
        <v>07440C</v>
      </c>
      <c r="R38" s="309" t="str">
        <f t="shared" si="6"/>
        <v>Parking Meter Service Worker</v>
      </c>
      <c r="S38" s="321">
        <f t="shared" si="0"/>
        <v>28.249837955186717</v>
      </c>
      <c r="T38" s="321"/>
      <c r="U38" s="321"/>
      <c r="V38" s="322"/>
      <c r="W38" s="321"/>
      <c r="X38" s="321"/>
      <c r="Y38" s="321"/>
    </row>
    <row r="39" spans="1:26">
      <c r="A39" s="219" t="s">
        <v>114</v>
      </c>
      <c r="B39" s="162">
        <v>215</v>
      </c>
      <c r="C39" s="162">
        <v>4</v>
      </c>
      <c r="D39" s="162" t="s">
        <v>17</v>
      </c>
      <c r="E39" s="162" t="s">
        <v>18</v>
      </c>
      <c r="F39" s="219" t="s">
        <v>114</v>
      </c>
      <c r="G39" s="162" t="s">
        <v>115</v>
      </c>
      <c r="H39" s="211" t="s">
        <v>116</v>
      </c>
      <c r="I39" s="269">
        <f t="shared" si="1"/>
        <v>26.400302242694579</v>
      </c>
      <c r="J39" s="269"/>
      <c r="K39" s="269"/>
      <c r="L39" s="269"/>
      <c r="M39" s="269"/>
      <c r="N39" s="269"/>
      <c r="O39" s="220"/>
      <c r="P39" s="312" t="s">
        <v>445</v>
      </c>
      <c r="Q39" s="286" t="str">
        <f t="shared" si="5"/>
        <v>07940C</v>
      </c>
      <c r="R39" s="309" t="str">
        <f t="shared" si="6"/>
        <v>Plant Service Worker</v>
      </c>
      <c r="S39" s="321">
        <f t="shared" si="0"/>
        <v>26.400302242694579</v>
      </c>
      <c r="T39" s="321"/>
      <c r="U39" s="321"/>
      <c r="V39" s="322"/>
      <c r="W39" s="321"/>
      <c r="X39" s="321"/>
      <c r="Y39" s="321"/>
    </row>
    <row r="40" spans="1:26">
      <c r="A40" s="219" t="s">
        <v>118</v>
      </c>
      <c r="B40" s="162">
        <v>335</v>
      </c>
      <c r="C40" s="162">
        <v>7</v>
      </c>
      <c r="D40" s="162" t="s">
        <v>17</v>
      </c>
      <c r="E40" s="162" t="s">
        <v>18</v>
      </c>
      <c r="F40" s="219" t="s">
        <v>117</v>
      </c>
      <c r="G40" s="162" t="s">
        <v>119</v>
      </c>
      <c r="H40" s="211" t="s">
        <v>120</v>
      </c>
      <c r="I40" s="269">
        <f t="shared" si="1"/>
        <v>26.579950657240712</v>
      </c>
      <c r="J40" s="269">
        <f t="shared" ref="J40:J41" si="42">T40</f>
        <v>27.947976708379489</v>
      </c>
      <c r="K40" s="269">
        <f t="shared" ref="K40:K41" si="43">U40</f>
        <v>29.316002759518256</v>
      </c>
      <c r="L40" s="269">
        <f t="shared" ref="L40:L41" si="44">V40</f>
        <v>30.679347797650568</v>
      </c>
      <c r="M40" s="269">
        <f t="shared" ref="M40" si="45">W40</f>
        <v>32.048544102040957</v>
      </c>
      <c r="N40" s="269">
        <f t="shared" ref="N40" si="46">X40</f>
        <v>33.420080912934594</v>
      </c>
      <c r="O40" s="220"/>
      <c r="P40" s="312" t="s">
        <v>445</v>
      </c>
      <c r="Q40" s="286" t="str">
        <f t="shared" si="5"/>
        <v>02621C</v>
      </c>
      <c r="R40" s="309" t="str">
        <f t="shared" si="6"/>
        <v>Pubic Works Equipment Dispatcher</v>
      </c>
      <c r="S40" s="321">
        <f t="shared" si="0"/>
        <v>26.579950657240712</v>
      </c>
      <c r="T40" s="321">
        <f>IF($P40="Y",((VLOOKUP($Q40,Rates2019,4,0)+LIUNA2020)*PercIncr2020)-LIUNA2020,VLOOKUP($Q40,Rates2019,4,0))</f>
        <v>27.947976708379489</v>
      </c>
      <c r="U40" s="321">
        <f>IF($P40="Y",((VLOOKUP($Q40,Rates2019,5,0)+LIUNA2020)*PercIncr2020)-LIUNA2020,VLOOKUP($Q40,Rates2019,5,0))</f>
        <v>29.316002759518256</v>
      </c>
      <c r="V40" s="321">
        <f>IF($P40="Y",((VLOOKUP($Q40,Rates2019,6,0)+LIUNA2020)*PercIncr2020)-LIUNA2020,VLOOKUP($Q40,Rates2019,6,0))</f>
        <v>30.679347797650568</v>
      </c>
      <c r="W40" s="321">
        <f>IF($P40="Y",((VLOOKUP($Q40,Rates2019,7,0)+LIUNA2020)*PercIncr2020)-LIUNA2020,VLOOKUP($Q40,Rates2019,7,0))</f>
        <v>32.048544102040957</v>
      </c>
      <c r="X40" s="321">
        <f>IF($P40="Y",((VLOOKUP($Q40,Rates2019,8,0)+LIUNA2020)*PercIncr2020)-LIUNA2020,VLOOKUP($Q40,Rates2019,8,0))</f>
        <v>33.420080912934594</v>
      </c>
      <c r="Y40" s="321"/>
    </row>
    <row r="41" spans="1:26">
      <c r="A41" s="219" t="s">
        <v>19</v>
      </c>
      <c r="B41" s="162">
        <v>230</v>
      </c>
      <c r="C41" s="162">
        <v>5</v>
      </c>
      <c r="D41" s="162" t="s">
        <v>17</v>
      </c>
      <c r="E41" s="162" t="s">
        <v>18</v>
      </c>
      <c r="F41" s="219" t="s">
        <v>19</v>
      </c>
      <c r="G41" s="162" t="s">
        <v>121</v>
      </c>
      <c r="H41" s="223" t="s">
        <v>122</v>
      </c>
      <c r="I41" s="269">
        <f t="shared" si="1"/>
        <v>25.738355838940187</v>
      </c>
      <c r="J41" s="269">
        <f t="shared" si="42"/>
        <v>26.55089656049266</v>
      </c>
      <c r="K41" s="269">
        <f t="shared" si="43"/>
        <v>27.387813503691699</v>
      </c>
      <c r="L41" s="269">
        <f t="shared" si="44"/>
        <v>28.249837955186717</v>
      </c>
      <c r="M41" s="269"/>
      <c r="N41" s="269"/>
      <c r="O41" s="220"/>
      <c r="P41" s="312" t="s">
        <v>445</v>
      </c>
      <c r="Q41" s="286" t="str">
        <f t="shared" si="5"/>
        <v>08568C</v>
      </c>
      <c r="R41" s="309" t="str">
        <f t="shared" si="6"/>
        <v xml:space="preserve">Public Works Service Worker I </v>
      </c>
      <c r="S41" s="321">
        <f t="shared" si="0"/>
        <v>25.738355838940187</v>
      </c>
      <c r="T41" s="321">
        <f>IF($P41="Y",((VLOOKUP($Q41,Rates2019,4,0)+LIUNA2020)*PercIncr2020)-LIUNA2020,VLOOKUP($Q41,Rates2019,4,0))</f>
        <v>26.55089656049266</v>
      </c>
      <c r="U41" s="321">
        <f>IF($P41="Y",((VLOOKUP($Q41,Rates2019,5,0)+LIUNA2020)*PercIncr2020)-LIUNA2020,VLOOKUP($Q41,Rates2019,5,0))</f>
        <v>27.387813503691699</v>
      </c>
      <c r="V41" s="321">
        <f>IF($P41="Y",((VLOOKUP($Q41,Rates2019,6,0)+LIUNA2020)*PercIncr2020)-LIUNA2020,VLOOKUP($Q41,Rates2019,6,0))</f>
        <v>28.249837955186717</v>
      </c>
      <c r="W41" s="321"/>
      <c r="X41" s="321"/>
      <c r="Y41" s="321"/>
    </row>
    <row r="42" spans="1:26">
      <c r="A42" s="219" t="s">
        <v>124</v>
      </c>
      <c r="B42" s="162">
        <v>230</v>
      </c>
      <c r="C42" s="162">
        <v>5</v>
      </c>
      <c r="D42" s="162" t="s">
        <v>17</v>
      </c>
      <c r="E42" s="162" t="s">
        <v>18</v>
      </c>
      <c r="F42" s="219" t="s">
        <v>124</v>
      </c>
      <c r="G42" s="162" t="s">
        <v>126</v>
      </c>
      <c r="H42" s="223" t="s">
        <v>127</v>
      </c>
      <c r="I42" s="221" t="str">
        <f>"6 months = "&amp;TEXT(S42,"$0.000")</f>
        <v>6 months = $16.801</v>
      </c>
      <c r="J42" s="228"/>
      <c r="K42" s="221" t="str">
        <f>"After 6 months AND holds a CDL = "&amp;TEXT(T42,"$0.000")</f>
        <v>After 6 months AND holds a CDL = $17.999</v>
      </c>
      <c r="L42" s="208"/>
      <c r="O42" s="220"/>
      <c r="P42" s="312" t="s">
        <v>445</v>
      </c>
      <c r="Q42" s="286" t="str">
        <f t="shared" si="5"/>
        <v>08564C</v>
      </c>
      <c r="R42" s="309" t="str">
        <f t="shared" si="6"/>
        <v xml:space="preserve">Public Works Service Worker I - Trainee </v>
      </c>
      <c r="S42" s="324">
        <f>IF($P42="Y",((VLOOKUP($Q42,Rates2019,3,0))*PercIncr2020),VLOOKUP($Q42,Rates2019,3,0))</f>
        <v>16.800642985500005</v>
      </c>
      <c r="T42" s="324">
        <f>IF($P42="Y",((VLOOKUP($Q42,Rates2019,4,0))*PercIncr2020),VLOOKUP($Q42,Rates2019,4,0))</f>
        <v>17.9990427595</v>
      </c>
      <c r="U42" s="321"/>
      <c r="V42" s="322"/>
      <c r="W42" s="324" t="s">
        <v>446</v>
      </c>
      <c r="X42" s="321"/>
      <c r="Y42" s="321"/>
    </row>
    <row r="43" spans="1:26">
      <c r="A43" s="219" t="s">
        <v>130</v>
      </c>
      <c r="B43" s="162">
        <v>318</v>
      </c>
      <c r="C43" s="162">
        <v>7</v>
      </c>
      <c r="D43" s="162" t="s">
        <v>17</v>
      </c>
      <c r="E43" s="162" t="s">
        <v>18</v>
      </c>
      <c r="F43" s="219" t="s">
        <v>130</v>
      </c>
      <c r="G43" s="229" t="s">
        <v>131</v>
      </c>
      <c r="H43" s="223" t="s">
        <v>382</v>
      </c>
      <c r="I43" s="269">
        <f t="shared" si="1"/>
        <v>33.572986347500006</v>
      </c>
      <c r="J43" s="269">
        <f t="shared" ref="J43:J44" si="47">T43</f>
        <v>34.484356805000004</v>
      </c>
      <c r="K43" s="269">
        <f t="shared" ref="K43:K44" si="48">U43</f>
        <v>35.573811145000001</v>
      </c>
      <c r="L43" s="269"/>
      <c r="M43" s="269"/>
      <c r="N43" s="269"/>
      <c r="O43" s="269"/>
      <c r="P43" s="312" t="s">
        <v>445</v>
      </c>
      <c r="Q43" s="286" t="str">
        <f t="shared" si="5"/>
        <v>09194C</v>
      </c>
      <c r="R43" s="309" t="str">
        <f t="shared" si="6"/>
        <v xml:space="preserve">Senior Water Treatment Operator </v>
      </c>
      <c r="S43" s="321">
        <f t="shared" si="0"/>
        <v>33.572986347500006</v>
      </c>
      <c r="T43" s="321">
        <f>IF($P43="Y",((VLOOKUP($Q43,Rates2019,4,0)+LIUNA2020)*PercIncr2020)-LIUNA2020,VLOOKUP($Q43,Rates2019,4,0))</f>
        <v>34.484356805000004</v>
      </c>
      <c r="U43" s="321">
        <f>IF($P43="Y",((VLOOKUP($Q43,Rates2019,5,0)+LIUNA2020)*PercIncr2020)-LIUNA2020,VLOOKUP($Q43,Rates2019,5,0))</f>
        <v>35.573811145000001</v>
      </c>
      <c r="V43" s="322"/>
      <c r="W43" s="321"/>
      <c r="X43" s="321"/>
      <c r="Y43" s="321"/>
    </row>
    <row r="44" spans="1:26">
      <c r="A44" s="219" t="s">
        <v>133</v>
      </c>
      <c r="B44" s="162">
        <v>310</v>
      </c>
      <c r="C44" s="162">
        <v>6</v>
      </c>
      <c r="D44" s="162" t="s">
        <v>17</v>
      </c>
      <c r="E44" s="162" t="s">
        <v>18</v>
      </c>
      <c r="F44" s="219" t="s">
        <v>133</v>
      </c>
      <c r="G44" s="162" t="s">
        <v>134</v>
      </c>
      <c r="H44" s="211" t="s">
        <v>135</v>
      </c>
      <c r="I44" s="269">
        <f t="shared" si="1"/>
        <v>26.492667024829505</v>
      </c>
      <c r="J44" s="269">
        <f t="shared" si="47"/>
        <v>27.798602416681604</v>
      </c>
      <c r="K44" s="269">
        <f t="shared" si="48"/>
        <v>29.084012301392612</v>
      </c>
      <c r="L44" s="269">
        <f t="shared" ref="L44" si="49">V44</f>
        <v>30.464352656631181</v>
      </c>
      <c r="M44" s="269"/>
      <c r="N44" s="269"/>
      <c r="O44" s="269"/>
      <c r="P44" s="312" t="s">
        <v>445</v>
      </c>
      <c r="Q44" s="286" t="str">
        <f t="shared" si="5"/>
        <v>09184C</v>
      </c>
      <c r="R44" s="309" t="str">
        <f t="shared" si="6"/>
        <v>Sewer Pumping Station Operator</v>
      </c>
      <c r="S44" s="321">
        <f t="shared" si="0"/>
        <v>26.492667024829505</v>
      </c>
      <c r="T44" s="321">
        <f>IF($P44="Y",((VLOOKUP($Q44,Rates2019,4,0)+LIUNA2020)*PercIncr2020)-LIUNA2020,VLOOKUP($Q44,Rates2019,4,0))</f>
        <v>27.798602416681604</v>
      </c>
      <c r="U44" s="321">
        <f>IF($P44="Y",((VLOOKUP($Q44,Rates2019,5,0)+LIUNA2020)*PercIncr2020)-LIUNA2020,VLOOKUP($Q44,Rates2019,5,0))</f>
        <v>29.084012301392612</v>
      </c>
      <c r="V44" s="321">
        <f>IF($P44="Y",((VLOOKUP($Q44,Rates2019,6,0)+LIUNA2020)*PercIncr2020)-LIUNA2020,VLOOKUP($Q44,Rates2019,6,0))</f>
        <v>30.464352656631181</v>
      </c>
      <c r="W44" s="321"/>
      <c r="X44" s="321"/>
      <c r="Y44" s="321"/>
    </row>
    <row r="45" spans="1:26">
      <c r="A45" s="219" t="s">
        <v>111</v>
      </c>
      <c r="B45" s="162">
        <v>258</v>
      </c>
      <c r="C45" s="162">
        <v>5</v>
      </c>
      <c r="D45" s="162" t="s">
        <v>17</v>
      </c>
      <c r="E45" s="162" t="s">
        <v>18</v>
      </c>
      <c r="F45" s="219">
        <v>16</v>
      </c>
      <c r="G45" s="162" t="s">
        <v>136</v>
      </c>
      <c r="H45" s="211" t="s">
        <v>137</v>
      </c>
      <c r="I45" s="269">
        <f t="shared" si="1"/>
        <v>28.249837955186717</v>
      </c>
      <c r="J45" s="269"/>
      <c r="K45" s="269"/>
      <c r="L45" s="269"/>
      <c r="M45" s="269"/>
      <c r="N45" s="269"/>
      <c r="O45" s="269"/>
      <c r="P45" s="312" t="s">
        <v>445</v>
      </c>
      <c r="Q45" s="286" t="str">
        <f t="shared" si="5"/>
        <v>09220C</v>
      </c>
      <c r="R45" s="309" t="str">
        <f t="shared" si="6"/>
        <v>Shop Repair Worker I</v>
      </c>
      <c r="S45" s="321">
        <f t="shared" ref="S45:S49" si="50">IF($P45="Y",((VLOOKUP($Q45,Rates2019,3,0)+LIUNA2020)*PercIncr2020)-LIUNA2020,VLOOKUP($Q45,Rates2019,3,0))</f>
        <v>28.249837955186717</v>
      </c>
      <c r="T45" s="321"/>
      <c r="U45" s="321"/>
      <c r="V45" s="322"/>
      <c r="W45" s="321"/>
      <c r="X45" s="321"/>
      <c r="Y45" s="321"/>
    </row>
    <row r="46" spans="1:26">
      <c r="A46" s="219" t="s">
        <v>308</v>
      </c>
      <c r="B46" s="162">
        <v>295</v>
      </c>
      <c r="C46" s="162">
        <v>6</v>
      </c>
      <c r="D46" s="162" t="s">
        <v>17</v>
      </c>
      <c r="E46" s="162" t="s">
        <v>18</v>
      </c>
      <c r="F46" s="219">
        <v>17</v>
      </c>
      <c r="G46" s="162" t="s">
        <v>138</v>
      </c>
      <c r="H46" s="211" t="s">
        <v>139</v>
      </c>
      <c r="I46" s="269">
        <f t="shared" si="1"/>
        <v>29.967891952655965</v>
      </c>
      <c r="J46" s="269">
        <f t="shared" ref="J46:J48" si="51">T46</f>
        <v>30.749144068213848</v>
      </c>
      <c r="K46" s="269">
        <f t="shared" ref="K46:K48" si="52">U46</f>
        <v>31.52783049537911</v>
      </c>
      <c r="L46" s="269"/>
      <c r="M46" s="269"/>
      <c r="N46" s="269"/>
      <c r="O46" s="269"/>
      <c r="P46" s="313" t="s">
        <v>445</v>
      </c>
      <c r="Q46" s="286" t="str">
        <f t="shared" si="5"/>
        <v>09230C</v>
      </c>
      <c r="R46" s="309" t="str">
        <f t="shared" si="6"/>
        <v>Shop Repair Worker II</v>
      </c>
      <c r="S46" s="321">
        <f t="shared" si="0"/>
        <v>29.967891952655965</v>
      </c>
      <c r="T46" s="321">
        <f>IF($P46="Y",((VLOOKUP($Q46,Rates2019,4,0)+LIUNA2020)*PercIncr2020)-LIUNA2020,VLOOKUP($Q46,Rates2019,4,0))</f>
        <v>30.749144068213848</v>
      </c>
      <c r="U46" s="321">
        <f>IF($P46="Y",((VLOOKUP($Q46,Rates2019,5,0)+LIUNA2020)*PercIncr2020)-LIUNA2020,VLOOKUP($Q46,Rates2019,5,0))</f>
        <v>31.52783049537911</v>
      </c>
      <c r="V46" s="321"/>
      <c r="W46" s="321"/>
      <c r="X46" s="321"/>
      <c r="Y46" s="321"/>
    </row>
    <row r="47" spans="1:26">
      <c r="A47" s="219">
        <v>8</v>
      </c>
      <c r="B47" s="162">
        <v>260</v>
      </c>
      <c r="C47" s="162">
        <v>5</v>
      </c>
      <c r="D47" s="162" t="s">
        <v>17</v>
      </c>
      <c r="E47" s="162" t="s">
        <v>18</v>
      </c>
      <c r="F47" s="219">
        <v>8</v>
      </c>
      <c r="G47" s="162" t="s">
        <v>140</v>
      </c>
      <c r="H47" s="211" t="s">
        <v>141</v>
      </c>
      <c r="I47" s="269">
        <f t="shared" si="1"/>
        <v>20.072031822256054</v>
      </c>
      <c r="J47" s="269">
        <f t="shared" si="51"/>
        <v>21.297148029740107</v>
      </c>
      <c r="K47" s="269">
        <f t="shared" si="52"/>
        <v>23.411275265272771</v>
      </c>
      <c r="L47" s="269">
        <f t="shared" ref="L47:L48" si="53">V47</f>
        <v>24.324660333051444</v>
      </c>
      <c r="M47" s="269">
        <f t="shared" ref="M47:M48" si="54">W47</f>
        <v>26.164258910571995</v>
      </c>
      <c r="N47" s="269">
        <f t="shared" ref="N47:N48" si="55">X47</f>
        <v>27.261090698424205</v>
      </c>
      <c r="O47" s="269">
        <f t="shared" ref="O47" si="56">Y47</f>
        <v>28.249837955186717</v>
      </c>
      <c r="P47" s="312" t="s">
        <v>445</v>
      </c>
      <c r="Q47" s="286" t="str">
        <f t="shared" si="5"/>
        <v>09400C</v>
      </c>
      <c r="R47" s="309" t="str">
        <f t="shared" si="6"/>
        <v>Stock Worker</v>
      </c>
      <c r="S47" s="321">
        <f t="shared" si="0"/>
        <v>20.072031822256054</v>
      </c>
      <c r="T47" s="321">
        <f>IF($P47="Y",((VLOOKUP($Q47,Rates2019,4,0)+LIUNA2020)*PercIncr2020)-LIUNA2020,VLOOKUP($Q47,Rates2019,4,0))</f>
        <v>21.297148029740107</v>
      </c>
      <c r="U47" s="321">
        <f>IF($P47="Y",((VLOOKUP($Q47,Rates2019,5,0)+LIUNA2020)*PercIncr2020)-LIUNA2020,VLOOKUP($Q47,Rates2019,5,0))</f>
        <v>23.411275265272771</v>
      </c>
      <c r="V47" s="321">
        <f>IF($P47="Y",((VLOOKUP($Q47,Rates2019,6,0)+LIUNA2020)*PercIncr2020)-LIUNA2020,VLOOKUP($Q47,Rates2019,6,0))</f>
        <v>24.324660333051444</v>
      </c>
      <c r="W47" s="321">
        <f>IF($P47="Y",((VLOOKUP($Q47,Rates2019,7,0)+LIUNA2020)*PercIncr2020)-LIUNA2020,VLOOKUP($Q47,Rates2019,7,0))</f>
        <v>26.164258910571995</v>
      </c>
      <c r="X47" s="321">
        <f>IF($P47="Y",((VLOOKUP($Q47,Rates2019,8,0)+LIUNA2020)*PercIncr2020)-LIUNA2020,VLOOKUP($Q47,Rates2019,8,0))</f>
        <v>27.261090698424205</v>
      </c>
      <c r="Y47" s="321">
        <f>IF($P47="Y",((VLOOKUP($Q47,Rates2019,9,0)+LIUNA2020)*PercIncr2020)-LIUNA2020,VLOOKUP($Q47,Rates2019,9,0))</f>
        <v>28.249837955186717</v>
      </c>
      <c r="Z47" s="230"/>
    </row>
    <row r="48" spans="1:26">
      <c r="A48" s="219" t="s">
        <v>118</v>
      </c>
      <c r="B48" s="162">
        <v>333</v>
      </c>
      <c r="C48" s="162">
        <v>7</v>
      </c>
      <c r="D48" s="162" t="s">
        <v>17</v>
      </c>
      <c r="E48" s="162" t="s">
        <v>18</v>
      </c>
      <c r="F48" s="219" t="s">
        <v>117</v>
      </c>
      <c r="G48" s="162" t="s">
        <v>142</v>
      </c>
      <c r="H48" s="211" t="s">
        <v>143</v>
      </c>
      <c r="I48" s="269">
        <f t="shared" si="1"/>
        <v>26.579950657240712</v>
      </c>
      <c r="J48" s="269">
        <f t="shared" si="51"/>
        <v>27.947976708379489</v>
      </c>
      <c r="K48" s="269">
        <f t="shared" si="52"/>
        <v>29.316002759518256</v>
      </c>
      <c r="L48" s="269">
        <f t="shared" si="53"/>
        <v>30.679347797650568</v>
      </c>
      <c r="M48" s="269">
        <f t="shared" si="54"/>
        <v>32.048544102040957</v>
      </c>
      <c r="N48" s="269">
        <f t="shared" si="55"/>
        <v>33.420080912934594</v>
      </c>
      <c r="O48" s="269"/>
      <c r="P48" s="312" t="s">
        <v>445</v>
      </c>
      <c r="Q48" s="286" t="str">
        <f t="shared" si="5"/>
        <v>09284C</v>
      </c>
      <c r="R48" s="309" t="str">
        <f t="shared" si="6"/>
        <v xml:space="preserve">Stores Center Coordinator   </v>
      </c>
      <c r="S48" s="321">
        <f t="shared" si="0"/>
        <v>26.579950657240712</v>
      </c>
      <c r="T48" s="321">
        <f>IF($P48="Y",((VLOOKUP($Q48,Rates2019,4,0)+LIUNA2020)*PercIncr2020)-LIUNA2020,VLOOKUP($Q48,Rates2019,4,0))</f>
        <v>27.947976708379489</v>
      </c>
      <c r="U48" s="321">
        <f>IF($P48="Y",((VLOOKUP($Q48,Rates2019,5,0)+LIUNA2020)*PercIncr2020)-LIUNA2020,VLOOKUP($Q48,Rates2019,5,0))</f>
        <v>29.316002759518256</v>
      </c>
      <c r="V48" s="321">
        <f>IF($P48="Y",((VLOOKUP($Q48,Rates2019,6,0)+LIUNA2020)*PercIncr2020)-LIUNA2020,VLOOKUP($Q48,Rates2019,6,0))</f>
        <v>30.679347797650568</v>
      </c>
      <c r="W48" s="321">
        <f>IF($P48="Y",((VLOOKUP($Q48,Rates2019,7,0)+LIUNA2020)*PercIncr2020)-LIUNA2020,VLOOKUP($Q48,Rates2019,7,0))</f>
        <v>32.048544102040957</v>
      </c>
      <c r="X48" s="321">
        <f>IF($P48="Y",((VLOOKUP($Q48,Rates2019,8,0)+LIUNA2020)*PercIncr2020)-LIUNA2020,VLOOKUP($Q48,Rates2019,8,0))</f>
        <v>33.420080912934594</v>
      </c>
      <c r="Y48" s="321"/>
    </row>
    <row r="49" spans="1:25">
      <c r="A49" s="219" t="s">
        <v>383</v>
      </c>
      <c r="B49" s="162"/>
      <c r="C49" s="162"/>
      <c r="D49" s="162" t="s">
        <v>17</v>
      </c>
      <c r="E49" s="162" t="s">
        <v>18</v>
      </c>
      <c r="F49" s="219"/>
      <c r="G49" s="162" t="s">
        <v>384</v>
      </c>
      <c r="H49" s="211" t="s">
        <v>385</v>
      </c>
      <c r="I49" s="269">
        <v>34.610999999999997</v>
      </c>
      <c r="J49" s="269"/>
      <c r="K49" s="269"/>
      <c r="L49" s="269"/>
      <c r="M49" s="269"/>
      <c r="N49" s="269"/>
      <c r="O49" s="269"/>
      <c r="P49" s="312" t="s">
        <v>445</v>
      </c>
      <c r="Q49" s="286" t="str">
        <f t="shared" si="5"/>
        <v>52931C</v>
      </c>
      <c r="R49" s="309" t="str">
        <f t="shared" si="6"/>
        <v>Union Leader (Service Area Crew Leader)</v>
      </c>
      <c r="S49" s="321">
        <f t="shared" si="50"/>
        <v>34.409589106500007</v>
      </c>
      <c r="T49" s="321"/>
      <c r="U49" s="321"/>
      <c r="V49" s="321"/>
      <c r="W49" s="321"/>
      <c r="X49" s="321"/>
      <c r="Y49" s="321"/>
    </row>
    <row r="50" spans="1:25">
      <c r="A50" s="219">
        <v>22</v>
      </c>
      <c r="B50" s="162">
        <v>265</v>
      </c>
      <c r="C50" s="162">
        <v>5</v>
      </c>
      <c r="D50" s="162" t="s">
        <v>17</v>
      </c>
      <c r="E50" s="162" t="s">
        <v>18</v>
      </c>
      <c r="F50" s="219">
        <v>22</v>
      </c>
      <c r="G50" s="162" t="s">
        <v>144</v>
      </c>
      <c r="H50" s="211" t="s">
        <v>145</v>
      </c>
      <c r="I50" s="269">
        <f t="shared" si="1"/>
        <v>30.346525417500008</v>
      </c>
      <c r="J50" s="269">
        <f t="shared" ref="J50" si="57">T50</f>
        <v>30.954105722500007</v>
      </c>
      <c r="K50" s="269">
        <f t="shared" ref="K50" si="58">U50</f>
        <v>31.561686027500006</v>
      </c>
      <c r="L50" s="269">
        <f t="shared" ref="L50" si="59">V50</f>
        <v>32.169266332500001</v>
      </c>
      <c r="M50" s="269"/>
      <c r="N50" s="269"/>
      <c r="O50" s="269"/>
      <c r="P50" s="312" t="s">
        <v>445</v>
      </c>
      <c r="Q50" s="286" t="str">
        <f t="shared" si="5"/>
        <v>10908C</v>
      </c>
      <c r="R50" s="309" t="str">
        <f t="shared" si="6"/>
        <v>Water Treatment Operator* (see below for Step)</v>
      </c>
      <c r="S50" s="321">
        <f t="shared" si="0"/>
        <v>30.346525417500008</v>
      </c>
      <c r="T50" s="321">
        <f>IF($P50="Y",((VLOOKUP($Q50,Rates2019,4,0)+LIUNA2020)*PercIncr2020)-LIUNA2020,VLOOKUP($Q50,Rates2019,4,0))</f>
        <v>30.954105722500007</v>
      </c>
      <c r="U50" s="321">
        <f>IF($P50="Y",((VLOOKUP($Q50,Rates2019,5,0)+LIUNA2020)*PercIncr2020)-LIUNA2020,VLOOKUP($Q50,Rates2019,5,0))</f>
        <v>31.561686027500006</v>
      </c>
      <c r="V50" s="321">
        <f>IF($P50="Y",((VLOOKUP($Q50,Rates2019,6,0)+LIUNA2020)*PercIncr2020)-LIUNA2020,VLOOKUP($Q50,Rates2019,6,0))</f>
        <v>32.169266332500001</v>
      </c>
      <c r="W50" s="321"/>
      <c r="X50" s="321"/>
      <c r="Y50" s="321"/>
    </row>
    <row r="51" spans="1:25">
      <c r="A51" s="219" t="s">
        <v>65</v>
      </c>
      <c r="B51" s="162">
        <v>253</v>
      </c>
      <c r="C51" s="162">
        <v>5</v>
      </c>
      <c r="D51" s="162" t="s">
        <v>17</v>
      </c>
      <c r="E51" s="162" t="s">
        <v>18</v>
      </c>
      <c r="F51" s="219" t="s">
        <v>65</v>
      </c>
      <c r="G51" s="162" t="s">
        <v>146</v>
      </c>
      <c r="H51" s="211" t="s">
        <v>147</v>
      </c>
      <c r="I51" s="269">
        <f t="shared" ref="I51:I52" si="60">S51</f>
        <v>25.135417865124673</v>
      </c>
      <c r="J51" s="269">
        <f t="shared" ref="J51:J52" si="61">T51</f>
        <v>25.98209503469479</v>
      </c>
      <c r="K51" s="269">
        <f t="shared" ref="K51:K52" si="62">U51</f>
        <v>26.858277620780239</v>
      </c>
      <c r="L51" s="269">
        <f t="shared" ref="L51:L52" si="63">V51</f>
        <v>27.938432434080305</v>
      </c>
      <c r="M51" s="269"/>
      <c r="N51" s="269"/>
      <c r="O51" s="269"/>
      <c r="P51" s="312" t="s">
        <v>445</v>
      </c>
      <c r="Q51" s="286" t="str">
        <f t="shared" si="5"/>
        <v>11030C</v>
      </c>
      <c r="R51" s="309" t="str">
        <f t="shared" si="6"/>
        <v>Yard Coordinator I</v>
      </c>
      <c r="S51" s="321">
        <f t="shared" si="0"/>
        <v>25.135417865124673</v>
      </c>
      <c r="T51" s="321">
        <f>IF($P51="Y",((VLOOKUP($Q51,Rates2019,4,0)+LIUNA2020)*PercIncr2020)-LIUNA2020,VLOOKUP($Q51,Rates2019,4,0))</f>
        <v>25.98209503469479</v>
      </c>
      <c r="U51" s="321">
        <f>IF($P51="Y",((VLOOKUP($Q51,Rates2019,5,0)+LIUNA2020)*PercIncr2020)-LIUNA2020,VLOOKUP($Q51,Rates2019,5,0))</f>
        <v>26.858277620780239</v>
      </c>
      <c r="V51" s="321">
        <f>IF($P51="Y",((VLOOKUP($Q51,Rates2019,6,0)+LIUNA2020)*PercIncr2020)-LIUNA2020,VLOOKUP($Q51,Rates2019,6,0))</f>
        <v>27.938432434080305</v>
      </c>
      <c r="W51" s="321"/>
      <c r="X51" s="321"/>
      <c r="Y51" s="321"/>
    </row>
    <row r="52" spans="1:25">
      <c r="A52" s="219">
        <v>13</v>
      </c>
      <c r="B52" s="162">
        <v>275</v>
      </c>
      <c r="C52" s="162">
        <v>6</v>
      </c>
      <c r="D52" s="162" t="s">
        <v>17</v>
      </c>
      <c r="E52" s="162" t="s">
        <v>18</v>
      </c>
      <c r="F52" s="219">
        <v>13</v>
      </c>
      <c r="G52" s="162" t="s">
        <v>148</v>
      </c>
      <c r="H52" s="211" t="s">
        <v>149</v>
      </c>
      <c r="I52" s="269">
        <f t="shared" si="60"/>
        <v>26.492667024829505</v>
      </c>
      <c r="J52" s="269">
        <f t="shared" si="61"/>
        <v>27.798602416681604</v>
      </c>
      <c r="K52" s="269">
        <f t="shared" si="62"/>
        <v>29.084012301392612</v>
      </c>
      <c r="L52" s="269">
        <f t="shared" si="63"/>
        <v>30.464352656631181</v>
      </c>
      <c r="M52" s="269"/>
      <c r="N52" s="269"/>
      <c r="O52" s="269"/>
      <c r="P52" s="312" t="s">
        <v>445</v>
      </c>
      <c r="Q52" s="286" t="str">
        <f t="shared" si="5"/>
        <v>11040C</v>
      </c>
      <c r="R52" s="309" t="str">
        <f t="shared" si="6"/>
        <v>Yard Coordinator II</v>
      </c>
      <c r="S52" s="321">
        <f t="shared" si="0"/>
        <v>26.492667024829505</v>
      </c>
      <c r="T52" s="321">
        <f>IF($P52="Y",((VLOOKUP($Q52,Rates2019,4,0)+LIUNA2020)*PercIncr2020)-LIUNA2020,VLOOKUP($Q52,Rates2019,4,0))</f>
        <v>27.798602416681604</v>
      </c>
      <c r="U52" s="321">
        <f>IF($P52="Y",((VLOOKUP($Q52,Rates2019,5,0)+LIUNA2020)*PercIncr2020)-LIUNA2020,VLOOKUP($Q52,Rates2019,5,0))</f>
        <v>29.084012301392612</v>
      </c>
      <c r="V52" s="321">
        <f>IF($P52="Y",((VLOOKUP($Q52,Rates2019,6,0)+LIUNA2020)*PercIncr2020)-LIUNA2020,VLOOKUP($Q52,Rates2019,6,0))</f>
        <v>30.464352656631181</v>
      </c>
      <c r="W52" s="321"/>
      <c r="X52" s="321"/>
      <c r="Y52" s="321"/>
    </row>
    <row r="53" spans="1:25">
      <c r="A53" s="219"/>
      <c r="C53" s="162"/>
      <c r="D53" s="231" t="s">
        <v>386</v>
      </c>
      <c r="E53" s="208"/>
      <c r="F53" s="219"/>
      <c r="G53" s="219"/>
      <c r="I53" s="218"/>
      <c r="J53" s="220"/>
      <c r="K53" s="220"/>
      <c r="L53" s="220"/>
      <c r="Q53" s="286"/>
      <c r="R53" s="309"/>
      <c r="S53" s="321"/>
      <c r="T53" s="321"/>
      <c r="U53" s="321"/>
      <c r="V53" s="321"/>
      <c r="W53" s="321"/>
      <c r="X53" s="321"/>
      <c r="Y53" s="321"/>
    </row>
    <row r="54" spans="1:25">
      <c r="D54" s="165" t="str">
        <f>"NOTE that in addition to the above hourly wages, a LIUNA pension fund contribution of " &amp; TEXT(LIUNA2020,"$#.###")&amp;" per hour is contributed on behalf of eligible employees."</f>
        <v>NOTE that in addition to the above hourly wages, a LIUNA pension fund contribution of $1.74 per hour is contributed on behalf of eligible employees.</v>
      </c>
      <c r="E54" s="165"/>
      <c r="I54" s="233"/>
      <c r="J54" s="162"/>
      <c r="K54" s="162"/>
      <c r="L54" s="162"/>
      <c r="M54" s="162"/>
      <c r="N54" s="162"/>
      <c r="S54" s="321"/>
      <c r="T54" s="321"/>
      <c r="U54" s="321"/>
      <c r="V54" s="321"/>
      <c r="W54" s="321"/>
      <c r="X54" s="321"/>
      <c r="Y54" s="321"/>
    </row>
    <row r="55" spans="1:25">
      <c r="D55" s="165"/>
      <c r="E55" s="165"/>
      <c r="I55" s="233"/>
      <c r="J55" s="162"/>
      <c r="K55" s="162"/>
      <c r="L55" s="162"/>
      <c r="M55" s="162"/>
      <c r="N55" s="162"/>
      <c r="S55" s="321"/>
      <c r="T55" s="321"/>
      <c r="U55" s="321"/>
      <c r="V55" s="321"/>
      <c r="W55" s="321"/>
      <c r="X55" s="321"/>
      <c r="Y55" s="321"/>
    </row>
    <row r="56" spans="1:25">
      <c r="A56" s="268"/>
      <c r="D56" s="268"/>
      <c r="E56" s="268"/>
      <c r="F56" s="268"/>
      <c r="G56" s="268"/>
      <c r="H56" s="268"/>
      <c r="I56" s="268"/>
      <c r="J56" s="268"/>
      <c r="K56" s="268"/>
      <c r="L56" s="268"/>
      <c r="M56" s="268"/>
      <c r="N56" s="268"/>
      <c r="O56" s="268"/>
      <c r="S56" s="321"/>
      <c r="T56" s="321"/>
      <c r="U56" s="321"/>
      <c r="V56" s="321"/>
      <c r="W56" s="321"/>
      <c r="X56" s="321"/>
      <c r="Y56" s="321"/>
    </row>
    <row r="57" spans="1:25">
      <c r="A57" s="650"/>
      <c r="D57" s="650"/>
      <c r="E57" s="650"/>
      <c r="F57" s="650"/>
      <c r="G57" s="650"/>
      <c r="H57" s="650"/>
      <c r="I57" s="650"/>
      <c r="J57" s="650"/>
      <c r="K57" s="650"/>
      <c r="L57" s="650"/>
      <c r="M57" s="650"/>
      <c r="N57" s="650"/>
      <c r="O57" s="650"/>
      <c r="S57" s="321"/>
      <c r="T57" s="321"/>
      <c r="U57" s="321"/>
      <c r="V57" s="321"/>
      <c r="W57" s="321"/>
      <c r="X57" s="321"/>
      <c r="Y57" s="321"/>
    </row>
    <row r="58" spans="1:25">
      <c r="D58" s="234" t="s">
        <v>344</v>
      </c>
      <c r="E58" s="234"/>
      <c r="I58" s="233"/>
      <c r="J58" s="162"/>
      <c r="K58" s="162"/>
      <c r="L58" s="162"/>
      <c r="M58" s="162"/>
      <c r="N58" s="162"/>
      <c r="R58" s="310"/>
      <c r="S58" s="321"/>
      <c r="T58" s="321"/>
      <c r="U58" s="321"/>
      <c r="V58" s="321"/>
      <c r="W58" s="321"/>
      <c r="X58" s="321"/>
      <c r="Y58" s="321"/>
    </row>
    <row r="59" spans="1:25">
      <c r="D59" s="234"/>
      <c r="E59" s="234"/>
      <c r="G59" s="162" t="s">
        <v>154</v>
      </c>
      <c r="H59" s="211" t="s">
        <v>155</v>
      </c>
      <c r="I59" s="233"/>
      <c r="J59" s="162"/>
      <c r="K59" s="162"/>
      <c r="L59" s="162"/>
      <c r="M59" s="162"/>
      <c r="N59" s="162"/>
      <c r="R59" s="310"/>
      <c r="S59" s="321"/>
      <c r="T59" s="321"/>
      <c r="U59" s="321"/>
      <c r="V59" s="321"/>
      <c r="W59" s="321"/>
      <c r="X59" s="321"/>
      <c r="Y59" s="321"/>
    </row>
    <row r="60" spans="1:25">
      <c r="D60" s="234"/>
      <c r="E60" s="234"/>
      <c r="G60" s="162" t="s">
        <v>156</v>
      </c>
      <c r="H60" s="211" t="s">
        <v>157</v>
      </c>
      <c r="I60" s="233"/>
      <c r="J60" s="162"/>
      <c r="K60" s="162"/>
      <c r="L60" s="162"/>
      <c r="M60" s="162"/>
      <c r="N60" s="162"/>
      <c r="R60" s="310"/>
      <c r="S60" s="321"/>
      <c r="T60" s="321"/>
      <c r="U60" s="321"/>
      <c r="V60" s="321"/>
      <c r="W60" s="321"/>
      <c r="X60" s="321"/>
      <c r="Y60" s="321"/>
    </row>
    <row r="61" spans="1:25">
      <c r="D61" s="234"/>
      <c r="E61" s="234"/>
      <c r="G61" s="162" t="s">
        <v>158</v>
      </c>
      <c r="H61" s="211" t="s">
        <v>159</v>
      </c>
      <c r="I61" s="233"/>
      <c r="J61" s="162"/>
      <c r="K61" s="162"/>
      <c r="L61" s="162"/>
      <c r="M61" s="162"/>
      <c r="N61" s="162"/>
      <c r="R61" s="310"/>
      <c r="S61" s="321"/>
      <c r="T61" s="321"/>
      <c r="U61" s="321"/>
      <c r="V61" s="321"/>
      <c r="W61" s="321"/>
      <c r="X61" s="321"/>
      <c r="Y61" s="321"/>
    </row>
    <row r="62" spans="1:25">
      <c r="D62" s="165"/>
      <c r="E62" s="165"/>
      <c r="I62" s="233"/>
      <c r="J62" s="162"/>
      <c r="K62" s="162"/>
      <c r="L62" s="162"/>
      <c r="M62" s="162"/>
      <c r="N62" s="162"/>
      <c r="S62" s="321"/>
      <c r="T62" s="321"/>
      <c r="U62" s="321"/>
      <c r="V62" s="321"/>
      <c r="W62" s="321"/>
      <c r="X62" s="321"/>
      <c r="Y62" s="321"/>
    </row>
    <row r="63" spans="1:25">
      <c r="D63" s="234" t="s">
        <v>345</v>
      </c>
      <c r="E63" s="234"/>
      <c r="I63" s="233"/>
      <c r="J63" s="162"/>
      <c r="K63" s="162"/>
      <c r="L63" s="162"/>
      <c r="M63" s="162"/>
      <c r="N63" s="162"/>
      <c r="Q63" s="278"/>
      <c r="R63" s="310"/>
      <c r="S63" s="321"/>
      <c r="T63" s="321"/>
      <c r="U63" s="321"/>
      <c r="V63" s="321"/>
      <c r="W63" s="321"/>
      <c r="X63" s="321"/>
      <c r="Y63" s="321"/>
    </row>
    <row r="64" spans="1:25">
      <c r="D64" s="163"/>
      <c r="E64" s="163"/>
      <c r="F64" s="159" t="s">
        <v>163</v>
      </c>
      <c r="G64" s="162" t="s">
        <v>154</v>
      </c>
      <c r="H64" s="211" t="s">
        <v>164</v>
      </c>
      <c r="I64" s="208"/>
      <c r="J64" s="162"/>
      <c r="K64" s="162"/>
      <c r="L64" s="162"/>
      <c r="M64" s="162"/>
      <c r="N64" s="162"/>
      <c r="Q64" s="278"/>
      <c r="R64" s="310"/>
      <c r="S64" s="321"/>
      <c r="T64" s="321"/>
      <c r="U64" s="321"/>
      <c r="V64" s="321"/>
      <c r="W64" s="321"/>
      <c r="X64" s="321"/>
      <c r="Y64" s="321"/>
    </row>
    <row r="65" spans="1:30">
      <c r="D65" s="163"/>
      <c r="E65" s="163"/>
      <c r="F65" s="159" t="s">
        <v>165</v>
      </c>
      <c r="G65" s="162" t="s">
        <v>156</v>
      </c>
      <c r="H65" s="211" t="s">
        <v>166</v>
      </c>
      <c r="I65" s="208"/>
      <c r="J65" s="162"/>
      <c r="K65" s="162"/>
      <c r="L65" s="162"/>
      <c r="M65" s="162"/>
      <c r="N65" s="162"/>
      <c r="Q65" s="278"/>
      <c r="R65" s="310"/>
      <c r="S65" s="321"/>
      <c r="T65" s="321"/>
      <c r="U65" s="321"/>
      <c r="V65" s="321"/>
      <c r="W65" s="321"/>
      <c r="X65" s="321"/>
      <c r="Y65" s="321"/>
    </row>
    <row r="66" spans="1:30">
      <c r="D66" s="163"/>
      <c r="E66" s="163"/>
      <c r="F66" s="159" t="s">
        <v>167</v>
      </c>
      <c r="G66" s="162" t="s">
        <v>158</v>
      </c>
      <c r="H66" s="211" t="s">
        <v>168</v>
      </c>
      <c r="I66" s="208"/>
      <c r="J66" s="162"/>
      <c r="K66" s="162"/>
      <c r="L66" s="162"/>
      <c r="M66" s="162"/>
      <c r="N66" s="162"/>
      <c r="O66" s="162"/>
      <c r="Q66" s="278"/>
      <c r="R66" s="310"/>
      <c r="S66" s="321"/>
      <c r="T66" s="321"/>
      <c r="U66" s="321"/>
      <c r="V66" s="321"/>
      <c r="W66" s="321"/>
      <c r="X66" s="321"/>
      <c r="Y66" s="321"/>
    </row>
    <row r="67" spans="1:30">
      <c r="D67" s="163"/>
      <c r="E67" s="163"/>
      <c r="F67" s="159" t="s">
        <v>169</v>
      </c>
      <c r="G67" s="162" t="s">
        <v>170</v>
      </c>
      <c r="H67" s="211" t="s">
        <v>171</v>
      </c>
      <c r="I67" s="208"/>
      <c r="J67" s="162"/>
      <c r="K67" s="162"/>
      <c r="L67" s="162"/>
      <c r="M67" s="162"/>
      <c r="N67" s="162"/>
      <c r="Q67" s="278"/>
      <c r="R67" s="310"/>
      <c r="S67" s="321"/>
      <c r="T67" s="321"/>
      <c r="U67" s="321"/>
      <c r="V67" s="321"/>
      <c r="W67" s="321"/>
      <c r="X67" s="321"/>
      <c r="Y67" s="321"/>
    </row>
    <row r="68" spans="1:30">
      <c r="D68" s="163"/>
      <c r="E68" s="163"/>
      <c r="G68" s="162"/>
      <c r="I68" s="208"/>
      <c r="J68" s="162"/>
      <c r="K68" s="162"/>
      <c r="L68" s="162"/>
      <c r="M68" s="162"/>
      <c r="N68" s="162"/>
      <c r="Q68" s="278"/>
      <c r="R68" s="310"/>
      <c r="S68" s="321"/>
      <c r="T68" s="321"/>
      <c r="U68" s="321"/>
      <c r="V68" s="321"/>
      <c r="W68" s="321"/>
      <c r="X68" s="321"/>
      <c r="Y68" s="321"/>
    </row>
    <row r="69" spans="1:30">
      <c r="A69" s="83"/>
      <c r="D69" s="235" t="s">
        <v>346</v>
      </c>
      <c r="E69" s="163"/>
      <c r="F69" s="83"/>
      <c r="G69" s="83"/>
      <c r="I69" s="233"/>
      <c r="J69" s="162"/>
      <c r="K69" s="162"/>
      <c r="L69" s="162"/>
      <c r="M69" s="162"/>
      <c r="N69" s="162"/>
      <c r="S69" s="321"/>
      <c r="T69" s="321"/>
      <c r="U69" s="321"/>
      <c r="V69" s="321"/>
      <c r="W69" s="321"/>
      <c r="X69" s="321"/>
      <c r="Y69" s="321"/>
    </row>
    <row r="70" spans="1:30" s="159" customFormat="1">
      <c r="D70" s="317" t="s">
        <v>447</v>
      </c>
      <c r="E70" s="210"/>
      <c r="F70" s="159" t="s">
        <v>174</v>
      </c>
      <c r="H70" s="163" t="str">
        <f>"Plant Service Workers who hold a Class 'D' Water Supply Certificate shall receive an additional "&amp;TEXT(S70,"$0.000")&amp;" per hour for all hours paid."</f>
        <v>Plant Service Workers who hold a Class 'D' Water Supply Certificate shall receive an additional $0.262 per hour for all hours paid.</v>
      </c>
      <c r="I70" s="233"/>
      <c r="J70" s="162"/>
      <c r="K70" s="162"/>
      <c r="L70" s="162"/>
      <c r="M70" s="162"/>
      <c r="N70" s="162"/>
      <c r="P70" s="279" t="s">
        <v>445</v>
      </c>
      <c r="Q70" s="279" t="s">
        <v>389</v>
      </c>
      <c r="R70" s="279" t="s">
        <v>390</v>
      </c>
      <c r="S70" s="321">
        <f>IF(P70="Y",VLOOKUP(Q70,Rates2019,3,0)*PercIncr2020,VLOOKUP(Q70,Rates2019,3,0))</f>
        <v>0.26188806250000002</v>
      </c>
      <c r="T70" s="321"/>
      <c r="U70" s="321"/>
      <c r="V70" s="321"/>
      <c r="W70" s="321"/>
      <c r="X70" s="321"/>
      <c r="Y70" s="321"/>
      <c r="Z70" s="208"/>
      <c r="AA70" s="208"/>
      <c r="AB70" s="208"/>
      <c r="AC70" s="208"/>
      <c r="AD70" s="208"/>
    </row>
    <row r="71" spans="1:30" s="159" customFormat="1">
      <c r="D71" s="210"/>
      <c r="E71" s="210"/>
      <c r="H71" s="211"/>
      <c r="I71" s="233"/>
      <c r="J71" s="162"/>
      <c r="K71" s="162"/>
      <c r="L71" s="162"/>
      <c r="M71" s="162"/>
      <c r="N71" s="162"/>
      <c r="P71" s="279"/>
      <c r="Q71" s="279"/>
      <c r="R71" s="279"/>
      <c r="S71" s="284"/>
      <c r="T71" s="284"/>
      <c r="U71" s="321"/>
      <c r="V71" s="321"/>
      <c r="W71" s="321"/>
      <c r="X71" s="321"/>
      <c r="Y71" s="321"/>
      <c r="Z71" s="208"/>
      <c r="AA71" s="208"/>
      <c r="AB71" s="208"/>
      <c r="AC71" s="208"/>
      <c r="AD71" s="208"/>
    </row>
    <row r="72" spans="1:30" s="159" customFormat="1">
      <c r="D72" s="163" t="s">
        <v>348</v>
      </c>
      <c r="E72" s="314"/>
      <c r="F72" s="315"/>
      <c r="G72" s="315"/>
      <c r="H72" s="316"/>
      <c r="I72" s="233"/>
      <c r="J72" s="162"/>
      <c r="K72" s="162"/>
      <c r="L72" s="162"/>
      <c r="M72" s="162"/>
      <c r="N72" s="162"/>
      <c r="P72" s="279"/>
      <c r="Q72" s="279"/>
      <c r="R72" s="279"/>
      <c r="S72" s="284"/>
      <c r="T72" s="284"/>
      <c r="U72" s="321"/>
      <c r="V72" s="321"/>
      <c r="W72" s="321"/>
      <c r="X72" s="321"/>
      <c r="Y72" s="321"/>
      <c r="Z72" s="208"/>
      <c r="AA72" s="208"/>
      <c r="AB72" s="208"/>
      <c r="AC72" s="208"/>
      <c r="AD72" s="208"/>
    </row>
    <row r="73" spans="1:30" s="159" customFormat="1">
      <c r="D73" s="163" t="s">
        <v>176</v>
      </c>
      <c r="E73" s="163"/>
      <c r="H73" s="211"/>
      <c r="I73" s="233"/>
      <c r="J73" s="162"/>
      <c r="K73" s="162"/>
      <c r="L73" s="162"/>
      <c r="M73" s="162"/>
      <c r="N73" s="162"/>
      <c r="P73" s="279"/>
      <c r="Q73" s="279"/>
      <c r="R73" s="279"/>
      <c r="S73" s="284"/>
      <c r="T73" s="284"/>
      <c r="U73" s="321"/>
      <c r="V73" s="321"/>
      <c r="W73" s="321"/>
      <c r="X73" s="321"/>
      <c r="Y73" s="321"/>
      <c r="Z73" s="208"/>
      <c r="AA73" s="208"/>
      <c r="AB73" s="208"/>
      <c r="AC73" s="208"/>
      <c r="AD73" s="208"/>
    </row>
    <row r="74" spans="1:30" s="159" customFormat="1">
      <c r="D74" s="210"/>
      <c r="E74" s="210"/>
      <c r="H74" s="160"/>
      <c r="I74" s="236"/>
      <c r="J74" s="162"/>
      <c r="K74" s="162"/>
      <c r="L74" s="162"/>
      <c r="M74" s="162"/>
      <c r="N74" s="162"/>
      <c r="P74" s="279"/>
      <c r="Q74" s="279"/>
      <c r="R74" s="279"/>
      <c r="S74" s="284"/>
      <c r="T74" s="284"/>
      <c r="U74" s="321"/>
      <c r="V74" s="321"/>
      <c r="W74" s="321"/>
      <c r="X74" s="321"/>
      <c r="Y74" s="321"/>
      <c r="Z74" s="208"/>
      <c r="AA74" s="208"/>
      <c r="AB74" s="208"/>
      <c r="AC74" s="208"/>
      <c r="AD74" s="208"/>
    </row>
    <row r="75" spans="1:30">
      <c r="D75" s="234" t="s">
        <v>448</v>
      </c>
      <c r="E75" s="234"/>
      <c r="H75" s="159" t="s">
        <v>449</v>
      </c>
      <c r="I75" s="236"/>
      <c r="J75" s="83"/>
      <c r="K75" s="83"/>
      <c r="L75" s="161"/>
      <c r="M75" s="162"/>
      <c r="N75" s="162"/>
      <c r="P75" s="279" t="s">
        <v>445</v>
      </c>
      <c r="Q75" s="279" t="s">
        <v>391</v>
      </c>
      <c r="R75" s="279" t="s">
        <v>392</v>
      </c>
      <c r="S75" s="321">
        <f>IF(P75="Y",VLOOKUP(Q75,Rates2019,3,0)*PercIncr2020,VLOOKUP(Q75,Rates2019,3,0))</f>
        <v>1.9497675000000001</v>
      </c>
      <c r="T75" s="284"/>
      <c r="U75" s="321"/>
      <c r="V75" s="321"/>
      <c r="W75" s="321"/>
      <c r="X75" s="321"/>
      <c r="Y75" s="321"/>
    </row>
    <row r="76" spans="1:30">
      <c r="A76" s="164"/>
      <c r="D76" s="163" t="str">
        <f>"duties, and shall receive a premium of "&amp;TEXT(S75,"$0.000" )&amp;" per hour on a 'as worked' basis when so assigned."</f>
        <v>duties, and shall receive a premium of $1.950 per hour on a 'as worked' basis when so assigned.</v>
      </c>
      <c r="E76" s="164"/>
      <c r="F76" s="164"/>
      <c r="H76" s="160"/>
      <c r="I76" s="159"/>
      <c r="J76" s="83"/>
      <c r="K76" s="83"/>
      <c r="L76" s="161"/>
      <c r="M76" s="162"/>
      <c r="N76" s="162"/>
      <c r="Q76" s="279"/>
      <c r="R76" s="279"/>
      <c r="S76" s="284"/>
      <c r="T76" s="284"/>
      <c r="U76" s="321"/>
      <c r="V76" s="321"/>
      <c r="W76" s="321"/>
      <c r="X76" s="321"/>
      <c r="Y76" s="321"/>
    </row>
    <row r="77" spans="1:30">
      <c r="A77" s="164"/>
      <c r="D77" s="163"/>
      <c r="E77" s="164"/>
      <c r="F77" s="164"/>
      <c r="H77" s="160"/>
      <c r="I77" s="159"/>
      <c r="J77" s="83"/>
      <c r="K77" s="83"/>
      <c r="L77" s="161"/>
      <c r="M77" s="162"/>
      <c r="N77" s="162"/>
      <c r="Q77" s="279"/>
      <c r="R77" s="279"/>
      <c r="S77" s="284"/>
      <c r="T77" s="284"/>
      <c r="U77" s="321"/>
      <c r="V77" s="321"/>
      <c r="W77" s="321"/>
      <c r="X77" s="321"/>
      <c r="Y77" s="321"/>
    </row>
    <row r="78" spans="1:30">
      <c r="D78" s="237" t="s">
        <v>242</v>
      </c>
      <c r="E78" s="217"/>
      <c r="Q78" s="279"/>
      <c r="R78" s="279"/>
      <c r="S78" s="284"/>
      <c r="T78" s="284"/>
      <c r="U78" s="321"/>
      <c r="V78" s="321"/>
      <c r="W78" s="321"/>
      <c r="X78" s="321"/>
      <c r="Y78" s="321"/>
    </row>
    <row r="79" spans="1:30">
      <c r="D79" s="238" t="s">
        <v>351</v>
      </c>
      <c r="E79" s="238"/>
      <c r="H79" s="217"/>
      <c r="I79" s="239"/>
      <c r="J79" s="213"/>
      <c r="Q79" s="279"/>
      <c r="R79" s="279"/>
      <c r="S79" s="284"/>
      <c r="T79" s="284"/>
      <c r="U79" s="321"/>
      <c r="V79" s="321"/>
      <c r="W79" s="321"/>
      <c r="X79" s="321"/>
      <c r="Y79" s="321"/>
    </row>
    <row r="80" spans="1:30">
      <c r="D80" s="238" t="str">
        <f>"premium of "&amp;TEXT(S80,"$0.000")&amp;" per hour for all hours spent training shall be paid.  The employer will establish strict assignment protocol."</f>
        <v>premium of $3.282 per hour for all hours spent training shall be paid.  The employer will establish strict assignment protocol.</v>
      </c>
      <c r="E80" s="238"/>
      <c r="H80" s="217"/>
      <c r="I80" s="239"/>
      <c r="J80" s="164"/>
      <c r="K80" s="164"/>
      <c r="L80" s="208"/>
      <c r="M80" s="208"/>
      <c r="N80" s="208"/>
      <c r="P80" s="279" t="s">
        <v>445</v>
      </c>
      <c r="Q80" s="288" t="s">
        <v>394</v>
      </c>
      <c r="R80" s="288" t="s">
        <v>395</v>
      </c>
      <c r="S80" s="321">
        <f>IF(P80="Y",VLOOKUP(Q80,Rates2019,3,0)*PercIncr2020,VLOOKUP(Q80,Rates2019,3,0))</f>
        <v>3.2819811992500005</v>
      </c>
      <c r="T80" s="321"/>
      <c r="U80" s="321"/>
      <c r="V80" s="321"/>
      <c r="W80" s="321"/>
      <c r="X80" s="321"/>
      <c r="Y80" s="321"/>
    </row>
    <row r="81" spans="1:25">
      <c r="D81" s="238"/>
      <c r="E81" s="238"/>
      <c r="I81" s="218"/>
      <c r="J81" s="220"/>
      <c r="M81" s="220"/>
      <c r="Q81" s="279"/>
      <c r="R81" s="279"/>
      <c r="S81" s="284"/>
      <c r="T81" s="284"/>
      <c r="U81" s="321"/>
      <c r="V81" s="321"/>
      <c r="W81" s="321"/>
      <c r="X81" s="321"/>
      <c r="Y81" s="321"/>
    </row>
    <row r="82" spans="1:25">
      <c r="A82" s="209"/>
      <c r="D82" s="237" t="s">
        <v>246</v>
      </c>
      <c r="E82" s="217"/>
      <c r="F82" s="209"/>
      <c r="G82" s="209"/>
      <c r="I82" s="218"/>
      <c r="J82" s="220"/>
      <c r="M82" s="220"/>
      <c r="Q82" s="279"/>
      <c r="R82" s="279"/>
      <c r="S82" s="284"/>
      <c r="T82" s="284"/>
      <c r="U82" s="321"/>
      <c r="V82" s="321"/>
      <c r="W82" s="321"/>
      <c r="X82" s="321"/>
      <c r="Y82" s="321"/>
    </row>
    <row r="83" spans="1:25">
      <c r="A83" s="209"/>
      <c r="D83" s="318" t="s">
        <v>450</v>
      </c>
      <c r="E83" s="238"/>
      <c r="F83" s="209"/>
      <c r="G83" s="209"/>
      <c r="H83" s="160" t="str">
        <f>"shall receive a premium of "&amp;TEXT(S83,"$0.000")&amp;" per hour for all hours worked performing Bio-Hazard Clean-up duties. "</f>
        <v xml:space="preserve">shall receive a premium of $0.835 per hour for all hours worked performing Bio-Hazard Clean-up duties. </v>
      </c>
      <c r="I83" s="164"/>
      <c r="J83" s="164"/>
      <c r="K83" s="240"/>
      <c r="L83" s="211"/>
      <c r="M83" s="162"/>
      <c r="N83" s="162"/>
      <c r="P83" s="279" t="s">
        <v>445</v>
      </c>
      <c r="Q83" s="279" t="s">
        <v>398</v>
      </c>
      <c r="R83" s="279" t="s">
        <v>399</v>
      </c>
      <c r="S83" s="321">
        <f>IF(P83="Y",VLOOKUP(Q83,Rates2019,3,0)*PercIncr2020,VLOOKUP(Q83,Rates2019,3,0))</f>
        <v>0.83517600000000003</v>
      </c>
      <c r="T83" s="284"/>
      <c r="U83" s="321"/>
      <c r="V83" s="321"/>
      <c r="W83" s="321"/>
      <c r="X83" s="321"/>
      <c r="Y83" s="321"/>
    </row>
    <row r="84" spans="1:25">
      <c r="A84" s="164"/>
      <c r="D84" s="163"/>
      <c r="E84" s="164"/>
      <c r="F84" s="164"/>
      <c r="H84" s="160"/>
      <c r="I84" s="159"/>
      <c r="J84" s="83"/>
      <c r="K84" s="83"/>
      <c r="L84" s="161"/>
      <c r="M84" s="162"/>
      <c r="N84" s="162"/>
      <c r="S84" s="321"/>
      <c r="T84" s="321"/>
      <c r="U84" s="321"/>
      <c r="V84" s="321"/>
      <c r="W84" s="321"/>
      <c r="X84" s="321"/>
      <c r="Y84" s="321"/>
    </row>
    <row r="85" spans="1:25">
      <c r="A85" s="83"/>
      <c r="D85" s="166" t="s">
        <v>400</v>
      </c>
      <c r="E85" s="166"/>
      <c r="F85" s="83"/>
      <c r="G85" s="83"/>
      <c r="H85" s="160"/>
      <c r="J85" s="241"/>
      <c r="K85" s="241"/>
      <c r="L85" s="242"/>
      <c r="M85" s="162"/>
      <c r="N85" s="162"/>
      <c r="Q85" s="279"/>
      <c r="R85" s="279"/>
      <c r="S85" s="284"/>
      <c r="T85" s="284"/>
      <c r="U85" s="325"/>
      <c r="V85" s="325"/>
      <c r="W85" s="325"/>
      <c r="X85" s="321"/>
      <c r="Y85" s="321"/>
    </row>
    <row r="86" spans="1:25" s="231" customFormat="1" ht="39" customHeight="1">
      <c r="A86" s="243"/>
      <c r="C86" s="209"/>
      <c r="D86" s="291" t="s">
        <v>188</v>
      </c>
      <c r="E86" s="241"/>
      <c r="F86" s="243"/>
      <c r="G86" s="243"/>
      <c r="H86" s="160"/>
      <c r="I86" s="167"/>
      <c r="L86" s="244" t="s">
        <v>451</v>
      </c>
      <c r="M86" s="244" t="s">
        <v>452</v>
      </c>
      <c r="N86" s="162"/>
      <c r="O86" s="159"/>
      <c r="P86" s="279"/>
      <c r="Q86" s="279"/>
      <c r="R86" s="279"/>
      <c r="S86" s="284"/>
      <c r="T86" s="284"/>
      <c r="U86" s="321"/>
      <c r="V86" s="321"/>
      <c r="W86" s="321"/>
      <c r="X86" s="325"/>
      <c r="Y86" s="325"/>
    </row>
    <row r="87" spans="1:25">
      <c r="A87" s="83"/>
      <c r="D87" s="160" t="s">
        <v>191</v>
      </c>
      <c r="E87" s="160"/>
      <c r="F87" s="83"/>
      <c r="G87" s="83"/>
      <c r="H87" s="160"/>
      <c r="J87" s="208"/>
      <c r="K87" s="208"/>
      <c r="L87" s="269">
        <f>S87</f>
        <v>0.48642038587907555</v>
      </c>
      <c r="M87" s="269"/>
      <c r="N87" s="162"/>
      <c r="P87" s="279" t="s">
        <v>445</v>
      </c>
      <c r="Q87" s="279" t="s">
        <v>403</v>
      </c>
      <c r="R87" s="279" t="s">
        <v>404</v>
      </c>
      <c r="S87" s="321">
        <f>IF(P87="Y",VLOOKUP(Q87,Rates2019,3,0)*PercIncr2020,VLOOKUP(Q87,Rates2019,3,0))</f>
        <v>0.48642038587907555</v>
      </c>
      <c r="T87" s="284"/>
      <c r="U87" s="321"/>
      <c r="V87" s="321"/>
      <c r="W87" s="321"/>
      <c r="X87" s="321"/>
      <c r="Y87" s="321"/>
    </row>
    <row r="88" spans="1:25">
      <c r="A88" s="83"/>
      <c r="D88" s="160" t="s">
        <v>355</v>
      </c>
      <c r="E88" s="160"/>
      <c r="F88" s="83"/>
      <c r="G88" s="83"/>
      <c r="H88" s="160"/>
      <c r="J88" s="208"/>
      <c r="K88" s="208"/>
      <c r="L88" s="269">
        <f>S88</f>
        <v>0.71619498998881959</v>
      </c>
      <c r="M88" s="269">
        <f>S89</f>
        <v>1.3607704809787571</v>
      </c>
      <c r="N88" s="162"/>
      <c r="P88" s="279" t="s">
        <v>445</v>
      </c>
      <c r="Q88" s="279" t="s">
        <v>405</v>
      </c>
      <c r="R88" s="279" t="s">
        <v>406</v>
      </c>
      <c r="S88" s="321">
        <f>IF(P88="Y",VLOOKUP(Q88,Rates2019,3,0)*PercIncr2020,VLOOKUP(Q88,Rates2019,3,0))</f>
        <v>0.71619498998881959</v>
      </c>
      <c r="T88" s="284"/>
      <c r="U88" s="321"/>
      <c r="V88" s="321"/>
      <c r="W88" s="321"/>
      <c r="X88" s="321"/>
      <c r="Y88" s="321"/>
    </row>
    <row r="89" spans="1:25" hidden="1">
      <c r="A89" s="83"/>
      <c r="D89" s="160"/>
      <c r="E89" s="160"/>
      <c r="F89" s="83"/>
      <c r="G89" s="83"/>
      <c r="H89" s="160"/>
      <c r="J89" s="208"/>
      <c r="K89" s="208"/>
      <c r="L89" s="220"/>
      <c r="M89" s="220"/>
      <c r="N89" s="162"/>
      <c r="P89" s="279" t="s">
        <v>445</v>
      </c>
      <c r="Q89" s="279" t="s">
        <v>407</v>
      </c>
      <c r="R89" s="279" t="s">
        <v>408</v>
      </c>
      <c r="S89" s="321">
        <f>IF(P89="Y",VLOOKUP(Q89,Rates2019,3,0)*PercIncr2020,VLOOKUP(Q89,Rates2019,3,0))</f>
        <v>1.3607704809787571</v>
      </c>
      <c r="T89" s="284"/>
      <c r="U89" s="321"/>
      <c r="V89" s="321"/>
      <c r="W89" s="321"/>
      <c r="X89" s="321"/>
      <c r="Y89" s="321"/>
    </row>
    <row r="90" spans="1:25">
      <c r="A90" s="83"/>
      <c r="D90" s="83" t="s">
        <v>193</v>
      </c>
      <c r="E90" s="83"/>
      <c r="F90" s="83"/>
      <c r="G90" s="83"/>
      <c r="H90" s="160"/>
      <c r="J90" s="208"/>
      <c r="K90" s="208"/>
      <c r="L90" s="269" t="s">
        <v>194</v>
      </c>
      <c r="M90" s="269">
        <f>S91</f>
        <v>1.1666488942568447</v>
      </c>
      <c r="N90" s="162"/>
      <c r="Q90" s="278"/>
      <c r="R90" s="278"/>
      <c r="S90" s="321"/>
      <c r="T90" s="284"/>
      <c r="U90" s="321"/>
      <c r="V90" s="321"/>
      <c r="W90" s="321"/>
      <c r="X90" s="321"/>
      <c r="Y90" s="321"/>
    </row>
    <row r="91" spans="1:25">
      <c r="A91" s="83"/>
      <c r="D91" s="160" t="s">
        <v>195</v>
      </c>
      <c r="E91" s="160"/>
      <c r="F91" s="83"/>
      <c r="G91" s="83"/>
      <c r="H91" s="160"/>
      <c r="J91" s="208"/>
      <c r="K91" s="208"/>
      <c r="L91" s="269">
        <f>S92</f>
        <v>2.0053459719686955</v>
      </c>
      <c r="M91" s="269"/>
      <c r="N91" s="162"/>
      <c r="P91" s="279" t="s">
        <v>445</v>
      </c>
      <c r="Q91" s="279" t="s">
        <v>409</v>
      </c>
      <c r="R91" s="279" t="s">
        <v>410</v>
      </c>
      <c r="S91" s="321">
        <f>IF(P91="Y",VLOOKUP(Q91,Rates2019,3,0)*PercIncr2020,VLOOKUP(Q91,Rates2019,3,0))</f>
        <v>1.1666488942568447</v>
      </c>
      <c r="T91" s="284"/>
      <c r="U91" s="321"/>
      <c r="V91" s="321"/>
      <c r="W91" s="321"/>
      <c r="X91" s="321"/>
      <c r="Y91" s="321"/>
    </row>
    <row r="92" spans="1:25">
      <c r="A92" s="83"/>
      <c r="D92" s="83" t="s">
        <v>196</v>
      </c>
      <c r="E92" s="83"/>
      <c r="F92" s="83"/>
      <c r="G92" s="83"/>
      <c r="H92" s="160"/>
      <c r="I92" s="236"/>
      <c r="J92" s="208"/>
      <c r="K92" s="208"/>
      <c r="L92" s="269">
        <f t="shared" ref="L92:L93" si="64">S93</f>
        <v>1.7904874749720494</v>
      </c>
      <c r="M92" s="249"/>
      <c r="N92" s="162"/>
      <c r="P92" s="279" t="s">
        <v>445</v>
      </c>
      <c r="Q92" s="279" t="s">
        <v>411</v>
      </c>
      <c r="R92" s="279" t="s">
        <v>412</v>
      </c>
      <c r="S92" s="321">
        <f>IF(P92="Y",VLOOKUP(Q92,Rates2019,3,0)*PercIncr2020,VLOOKUP(Q92,Rates2019,3,0))</f>
        <v>2.0053459719686955</v>
      </c>
      <c r="T92" s="284"/>
      <c r="U92" s="321"/>
      <c r="V92" s="321"/>
      <c r="W92" s="321"/>
      <c r="X92" s="321"/>
      <c r="Y92" s="321"/>
    </row>
    <row r="93" spans="1:25">
      <c r="A93" s="83"/>
      <c r="D93" s="83" t="s">
        <v>197</v>
      </c>
      <c r="E93" s="83"/>
      <c r="F93" s="83"/>
      <c r="G93" s="83"/>
      <c r="H93" s="160"/>
      <c r="I93" s="236"/>
      <c r="J93" s="208"/>
      <c r="K93" s="208"/>
      <c r="L93" s="269">
        <f t="shared" si="64"/>
        <v>0.71619498998881959</v>
      </c>
      <c r="M93" s="249"/>
      <c r="N93" s="162"/>
      <c r="P93" s="279" t="s">
        <v>445</v>
      </c>
      <c r="Q93" s="279" t="s">
        <v>413</v>
      </c>
      <c r="R93" s="279" t="s">
        <v>414</v>
      </c>
      <c r="S93" s="321">
        <f>IF(P93="Y",VLOOKUP(Q93,Rates2019,3,0)*PercIncr2020,VLOOKUP(Q93,Rates2019,3,0))</f>
        <v>1.7904874749720494</v>
      </c>
      <c r="T93" s="284"/>
      <c r="U93" s="321"/>
      <c r="V93" s="321"/>
      <c r="W93" s="321"/>
      <c r="X93" s="321"/>
      <c r="Y93" s="321"/>
    </row>
    <row r="94" spans="1:25">
      <c r="A94" s="83"/>
      <c r="D94" s="83"/>
      <c r="E94" s="83"/>
      <c r="F94" s="83"/>
      <c r="G94" s="83"/>
      <c r="H94" s="160"/>
      <c r="I94" s="236"/>
      <c r="J94" s="83"/>
      <c r="K94" s="83"/>
      <c r="L94" s="83"/>
      <c r="M94" s="162"/>
      <c r="N94" s="162"/>
      <c r="P94" s="279" t="s">
        <v>445</v>
      </c>
      <c r="Q94" s="279" t="s">
        <v>415</v>
      </c>
      <c r="R94" s="279" t="s">
        <v>416</v>
      </c>
      <c r="S94" s="321">
        <f>IF(P94="Y",VLOOKUP(Q94,Rates2019,3,0)*PercIncr2020,VLOOKUP(Q94,Rates2019,3,0))</f>
        <v>0.71619498998881959</v>
      </c>
      <c r="T94" s="284"/>
      <c r="U94" s="321"/>
      <c r="V94" s="321"/>
      <c r="W94" s="321"/>
      <c r="X94" s="321"/>
      <c r="Y94" s="321"/>
    </row>
    <row r="95" spans="1:25">
      <c r="A95" s="83"/>
      <c r="D95" s="234" t="s">
        <v>198</v>
      </c>
      <c r="E95" s="234"/>
      <c r="F95" s="83"/>
      <c r="G95" s="83"/>
      <c r="H95" s="160"/>
      <c r="I95" s="236"/>
      <c r="J95" s="83"/>
      <c r="K95" s="83"/>
      <c r="L95" s="83"/>
      <c r="M95" s="162"/>
      <c r="N95" s="162"/>
      <c r="S95" s="321"/>
      <c r="T95" s="284"/>
      <c r="U95" s="321"/>
      <c r="V95" s="321"/>
      <c r="W95" s="321"/>
      <c r="X95" s="321"/>
      <c r="Y95" s="321"/>
    </row>
    <row r="96" spans="1:25">
      <c r="A96" s="170"/>
      <c r="D96" s="165" t="s">
        <v>199</v>
      </c>
      <c r="E96" s="232"/>
      <c r="F96" s="170"/>
      <c r="G96" s="170"/>
      <c r="H96" s="245"/>
      <c r="I96" s="170"/>
      <c r="J96" s="170"/>
      <c r="K96" s="170"/>
      <c r="L96" s="170"/>
      <c r="M96" s="246"/>
      <c r="N96" s="246"/>
      <c r="Q96" s="279"/>
      <c r="R96" s="279"/>
      <c r="S96" s="284"/>
      <c r="T96" s="284"/>
      <c r="U96" s="321"/>
      <c r="V96" s="321"/>
      <c r="W96" s="321"/>
      <c r="X96" s="321"/>
      <c r="Y96" s="321"/>
    </row>
    <row r="97" spans="1:25">
      <c r="A97" s="170"/>
      <c r="D97" s="165" t="s">
        <v>200</v>
      </c>
      <c r="E97" s="232"/>
      <c r="F97" s="170"/>
      <c r="G97" s="170"/>
      <c r="H97" s="245"/>
      <c r="I97" s="170"/>
      <c r="J97" s="170"/>
      <c r="K97" s="170"/>
      <c r="L97" s="170"/>
      <c r="M97" s="246"/>
      <c r="N97" s="246"/>
      <c r="Q97" s="279"/>
      <c r="R97" s="279"/>
      <c r="S97" s="284"/>
      <c r="T97" s="284"/>
      <c r="U97" s="321"/>
      <c r="V97" s="321"/>
      <c r="W97" s="321"/>
      <c r="X97" s="321"/>
      <c r="Y97" s="321"/>
    </row>
    <row r="98" spans="1:25">
      <c r="A98" s="170"/>
      <c r="D98" s="165" t="s">
        <v>201</v>
      </c>
      <c r="E98" s="232"/>
      <c r="F98" s="170"/>
      <c r="G98" s="170"/>
      <c r="H98" s="245"/>
      <c r="I98" s="170"/>
      <c r="J98" s="170"/>
      <c r="K98" s="170"/>
      <c r="L98" s="170"/>
      <c r="M98" s="246"/>
      <c r="N98" s="246"/>
      <c r="Q98" s="279"/>
      <c r="R98" s="279"/>
      <c r="S98" s="284"/>
      <c r="T98" s="284"/>
      <c r="U98" s="321"/>
      <c r="V98" s="321"/>
      <c r="W98" s="321"/>
      <c r="X98" s="321"/>
      <c r="Y98" s="321"/>
    </row>
    <row r="99" spans="1:25">
      <c r="A99" s="170"/>
      <c r="D99" s="165" t="s">
        <v>202</v>
      </c>
      <c r="E99" s="232"/>
      <c r="F99" s="170"/>
      <c r="G99" s="170"/>
      <c r="H99" s="245"/>
      <c r="I99" s="170"/>
      <c r="J99" s="170"/>
      <c r="K99" s="170"/>
      <c r="L99" s="170"/>
      <c r="M99" s="246"/>
      <c r="N99" s="246"/>
      <c r="Q99" s="279"/>
      <c r="R99" s="279"/>
      <c r="S99" s="284"/>
      <c r="T99" s="284"/>
      <c r="U99" s="321"/>
      <c r="V99" s="321"/>
      <c r="W99" s="321"/>
      <c r="X99" s="321"/>
      <c r="Y99" s="321"/>
    </row>
    <row r="100" spans="1:25">
      <c r="A100" s="170"/>
      <c r="D100" s="165" t="s">
        <v>203</v>
      </c>
      <c r="E100" s="232"/>
      <c r="F100" s="170"/>
      <c r="G100" s="170"/>
      <c r="H100" s="245"/>
      <c r="I100" s="170"/>
      <c r="J100" s="170"/>
      <c r="K100" s="170"/>
      <c r="L100" s="170"/>
      <c r="M100" s="246"/>
      <c r="N100" s="246"/>
      <c r="Q100" s="279"/>
      <c r="R100" s="279"/>
      <c r="S100" s="284"/>
      <c r="T100" s="284"/>
      <c r="U100" s="321"/>
      <c r="V100" s="321"/>
      <c r="W100" s="321"/>
      <c r="X100" s="321"/>
      <c r="Y100" s="321"/>
    </row>
    <row r="101" spans="1:25">
      <c r="A101" s="170"/>
      <c r="D101" s="165" t="s">
        <v>204</v>
      </c>
      <c r="E101" s="232"/>
      <c r="F101" s="170"/>
      <c r="G101" s="170"/>
      <c r="H101" s="245"/>
      <c r="I101" s="170"/>
      <c r="J101" s="170"/>
      <c r="K101" s="170"/>
      <c r="L101" s="170"/>
      <c r="M101" s="246"/>
      <c r="N101" s="246"/>
      <c r="Q101" s="279"/>
      <c r="R101" s="279"/>
      <c r="S101" s="284"/>
      <c r="T101" s="284"/>
      <c r="U101" s="321"/>
      <c r="V101" s="321"/>
      <c r="W101" s="321"/>
      <c r="X101" s="321"/>
      <c r="Y101" s="321"/>
    </row>
    <row r="102" spans="1:25">
      <c r="A102" s="170"/>
      <c r="D102" s="165" t="s">
        <v>205</v>
      </c>
      <c r="E102" s="232"/>
      <c r="F102" s="170"/>
      <c r="G102" s="170"/>
      <c r="H102" s="245"/>
      <c r="I102" s="170"/>
      <c r="J102" s="170"/>
      <c r="K102" s="170"/>
      <c r="L102" s="170"/>
      <c r="M102" s="246"/>
      <c r="N102" s="246"/>
      <c r="Q102" s="279"/>
      <c r="R102" s="279"/>
      <c r="S102" s="284"/>
      <c r="T102" s="284"/>
      <c r="U102" s="326"/>
      <c r="V102" s="321"/>
      <c r="W102" s="321"/>
      <c r="X102" s="321"/>
      <c r="Y102" s="321"/>
    </row>
    <row r="103" spans="1:25">
      <c r="A103" s="170"/>
      <c r="D103" s="165" t="s">
        <v>206</v>
      </c>
      <c r="E103" s="232"/>
      <c r="F103" s="170"/>
      <c r="G103" s="170"/>
      <c r="H103" s="245"/>
      <c r="I103" s="170"/>
      <c r="J103" s="170"/>
      <c r="K103" s="170"/>
      <c r="L103" s="170"/>
      <c r="M103" s="246"/>
      <c r="N103" s="246"/>
      <c r="Q103" s="279"/>
      <c r="R103" s="279"/>
      <c r="S103" s="284"/>
      <c r="T103" s="284"/>
      <c r="U103" s="326"/>
      <c r="V103" s="321"/>
      <c r="W103" s="321"/>
      <c r="X103" s="321"/>
      <c r="Y103" s="321"/>
    </row>
    <row r="104" spans="1:25">
      <c r="A104" s="170"/>
      <c r="D104" s="163" t="s">
        <v>207</v>
      </c>
      <c r="E104" s="247"/>
      <c r="F104" s="170"/>
      <c r="G104" s="170"/>
      <c r="H104" s="245"/>
      <c r="I104" s="170"/>
      <c r="J104" s="170"/>
      <c r="K104" s="170"/>
      <c r="L104" s="170"/>
      <c r="M104" s="246"/>
      <c r="N104" s="246"/>
      <c r="Q104" s="279"/>
      <c r="R104" s="279"/>
      <c r="S104" s="284"/>
      <c r="T104" s="284"/>
      <c r="U104" s="321"/>
      <c r="V104" s="326"/>
      <c r="W104" s="321"/>
      <c r="X104" s="321"/>
      <c r="Y104" s="321"/>
    </row>
    <row r="105" spans="1:25">
      <c r="A105" s="170"/>
      <c r="D105" s="163" t="s">
        <v>208</v>
      </c>
      <c r="E105" s="247"/>
      <c r="F105" s="170"/>
      <c r="G105" s="170"/>
      <c r="H105" s="245"/>
      <c r="I105" s="170"/>
      <c r="J105" s="170"/>
      <c r="K105" s="170"/>
      <c r="L105" s="170"/>
      <c r="M105" s="246"/>
      <c r="N105" s="246"/>
      <c r="Q105" s="279"/>
      <c r="R105" s="279"/>
      <c r="S105" s="284"/>
      <c r="T105" s="284"/>
      <c r="U105" s="321"/>
      <c r="V105" s="326"/>
      <c r="W105" s="321"/>
      <c r="X105" s="321"/>
      <c r="Y105" s="321"/>
    </row>
    <row r="106" spans="1:25">
      <c r="A106" s="170"/>
      <c r="D106" s="163" t="s">
        <v>209</v>
      </c>
      <c r="E106" s="247"/>
      <c r="F106" s="170"/>
      <c r="G106" s="170"/>
      <c r="H106" s="245"/>
      <c r="I106" s="170"/>
      <c r="J106" s="170"/>
      <c r="K106" s="170"/>
      <c r="L106" s="170"/>
      <c r="M106" s="246"/>
      <c r="N106" s="246"/>
      <c r="Q106" s="279"/>
      <c r="R106" s="279"/>
      <c r="S106" s="284"/>
      <c r="T106" s="284"/>
      <c r="U106" s="321"/>
      <c r="V106" s="321"/>
      <c r="W106" s="326"/>
      <c r="X106" s="321"/>
      <c r="Y106" s="321"/>
    </row>
    <row r="107" spans="1:25">
      <c r="A107" s="170"/>
      <c r="D107" s="165" t="s">
        <v>210</v>
      </c>
      <c r="E107" s="232"/>
      <c r="F107" s="170"/>
      <c r="G107" s="170"/>
      <c r="H107" s="245"/>
      <c r="I107" s="170"/>
      <c r="J107" s="170"/>
      <c r="K107" s="170"/>
      <c r="L107" s="170"/>
      <c r="M107" s="246"/>
      <c r="N107" s="246"/>
      <c r="Q107" s="279"/>
      <c r="R107" s="279"/>
      <c r="S107" s="284"/>
      <c r="T107" s="284"/>
      <c r="U107" s="321"/>
      <c r="V107" s="321"/>
      <c r="W107" s="326"/>
      <c r="X107" s="321"/>
      <c r="Y107" s="321"/>
    </row>
    <row r="108" spans="1:25">
      <c r="A108" s="170"/>
      <c r="D108" s="165" t="s">
        <v>211</v>
      </c>
      <c r="E108" s="232"/>
      <c r="F108" s="170"/>
      <c r="G108" s="170"/>
      <c r="H108" s="245"/>
      <c r="I108" s="170"/>
      <c r="J108" s="170"/>
      <c r="K108" s="170"/>
      <c r="L108" s="170"/>
      <c r="M108" s="246"/>
      <c r="N108" s="246"/>
      <c r="Q108" s="279"/>
      <c r="R108" s="279"/>
      <c r="S108" s="284"/>
      <c r="T108" s="284"/>
      <c r="U108" s="321"/>
      <c r="V108" s="321"/>
      <c r="W108" s="326"/>
      <c r="X108" s="321"/>
      <c r="Y108" s="321"/>
    </row>
    <row r="109" spans="1:25">
      <c r="A109" s="170"/>
      <c r="D109" s="165" t="s">
        <v>212</v>
      </c>
      <c r="E109" s="232"/>
      <c r="F109" s="170"/>
      <c r="G109" s="170"/>
      <c r="H109" s="245"/>
      <c r="I109" s="170"/>
      <c r="J109" s="170"/>
      <c r="K109" s="170"/>
      <c r="L109" s="170"/>
      <c r="M109" s="246"/>
      <c r="N109" s="246"/>
      <c r="Q109" s="279"/>
      <c r="R109" s="279"/>
      <c r="S109" s="284"/>
      <c r="T109" s="284"/>
      <c r="U109" s="321"/>
      <c r="V109" s="321"/>
      <c r="W109" s="326"/>
      <c r="X109" s="321"/>
      <c r="Y109" s="321"/>
    </row>
    <row r="110" spans="1:25">
      <c r="A110" s="208"/>
      <c r="D110" s="232"/>
      <c r="E110" s="232"/>
      <c r="F110" s="170"/>
      <c r="G110" s="171" t="s">
        <v>213</v>
      </c>
      <c r="H110" s="245"/>
      <c r="I110" s="170"/>
      <c r="J110" s="170"/>
      <c r="K110" s="170"/>
      <c r="L110" s="170"/>
      <c r="M110" s="246"/>
      <c r="N110" s="246"/>
      <c r="Q110" s="279"/>
      <c r="R110" s="279"/>
      <c r="S110" s="284"/>
      <c r="T110" s="284"/>
      <c r="U110" s="321"/>
      <c r="V110" s="321"/>
      <c r="W110" s="326"/>
      <c r="X110" s="321"/>
      <c r="Y110" s="321"/>
    </row>
    <row r="111" spans="1:25">
      <c r="A111" s="208"/>
      <c r="D111" s="232"/>
      <c r="E111" s="232"/>
      <c r="F111" s="170"/>
      <c r="G111" s="171" t="s">
        <v>356</v>
      </c>
      <c r="H111" s="245"/>
      <c r="I111" s="170"/>
      <c r="J111" s="170"/>
      <c r="K111" s="170"/>
      <c r="L111" s="170"/>
      <c r="M111" s="246"/>
      <c r="N111" s="246"/>
      <c r="Q111" s="279"/>
      <c r="R111" s="279"/>
      <c r="S111" s="284"/>
      <c r="T111" s="284"/>
      <c r="U111" s="321"/>
      <c r="V111" s="321"/>
      <c r="W111" s="326"/>
      <c r="X111" s="321"/>
      <c r="Y111" s="321"/>
    </row>
    <row r="112" spans="1:25">
      <c r="A112" s="208"/>
      <c r="D112" s="232"/>
      <c r="E112" s="232"/>
      <c r="F112" s="170"/>
      <c r="G112" s="171" t="s">
        <v>215</v>
      </c>
      <c r="H112" s="245"/>
      <c r="I112" s="170"/>
      <c r="J112" s="170"/>
      <c r="K112" s="170"/>
      <c r="L112" s="170"/>
      <c r="M112" s="246"/>
      <c r="N112" s="246"/>
      <c r="Q112" s="279"/>
      <c r="R112" s="279"/>
      <c r="S112" s="284"/>
      <c r="T112" s="284"/>
      <c r="U112" s="321"/>
      <c r="V112" s="321"/>
      <c r="W112" s="326"/>
      <c r="X112" s="321"/>
      <c r="Y112" s="321"/>
    </row>
    <row r="113" spans="1:25" s="164" customFormat="1">
      <c r="A113" s="170"/>
      <c r="C113" s="159"/>
      <c r="D113" s="232" t="s">
        <v>216</v>
      </c>
      <c r="E113" s="232"/>
      <c r="F113" s="170"/>
      <c r="G113" s="170"/>
      <c r="H113" s="245"/>
      <c r="I113" s="170"/>
      <c r="J113" s="246"/>
      <c r="K113" s="246"/>
      <c r="L113" s="246"/>
      <c r="M113" s="246"/>
      <c r="N113" s="246"/>
      <c r="O113" s="159"/>
      <c r="P113" s="279"/>
      <c r="Q113" s="279"/>
      <c r="R113" s="279"/>
      <c r="S113" s="284"/>
      <c r="T113" s="284"/>
      <c r="U113" s="321"/>
      <c r="V113" s="321"/>
      <c r="W113" s="321"/>
      <c r="X113" s="326"/>
      <c r="Y113" s="326"/>
    </row>
    <row r="114" spans="1:25" s="164" customFormat="1">
      <c r="A114" s="83"/>
      <c r="C114" s="159"/>
      <c r="D114" s="165"/>
      <c r="E114" s="165"/>
      <c r="F114" s="83"/>
      <c r="G114" s="83"/>
      <c r="H114" s="160"/>
      <c r="I114" s="236"/>
      <c r="J114" s="162"/>
      <c r="K114" s="162"/>
      <c r="L114" s="162"/>
      <c r="M114" s="162"/>
      <c r="N114" s="162"/>
      <c r="O114" s="159"/>
      <c r="P114" s="279"/>
      <c r="Q114" s="279"/>
      <c r="R114" s="279"/>
      <c r="S114" s="284"/>
      <c r="T114" s="284"/>
      <c r="U114" s="321"/>
      <c r="V114" s="321"/>
      <c r="W114" s="321"/>
      <c r="X114" s="326"/>
      <c r="Y114" s="326"/>
    </row>
    <row r="115" spans="1:25" s="164" customFormat="1">
      <c r="A115" s="83"/>
      <c r="C115" s="159"/>
      <c r="D115" s="166" t="s">
        <v>217</v>
      </c>
      <c r="E115" s="166"/>
      <c r="F115" s="83"/>
      <c r="G115" s="83"/>
      <c r="H115" s="160"/>
      <c r="I115" s="248"/>
      <c r="J115" s="249"/>
      <c r="K115" s="162"/>
      <c r="L115" s="162"/>
      <c r="M115" s="162"/>
      <c r="N115" s="162"/>
      <c r="O115" s="159"/>
      <c r="P115" s="279"/>
      <c r="Q115" s="279"/>
      <c r="R115" s="279"/>
      <c r="S115" s="284"/>
      <c r="T115" s="284"/>
      <c r="U115" s="321"/>
      <c r="V115" s="321"/>
      <c r="W115" s="321"/>
      <c r="X115" s="326"/>
      <c r="Y115" s="326"/>
    </row>
    <row r="116" spans="1:25">
      <c r="A116" s="83"/>
      <c r="D116" s="165" t="s">
        <v>357</v>
      </c>
      <c r="E116" s="165"/>
      <c r="F116" s="83"/>
      <c r="G116" s="83"/>
      <c r="H116" s="160"/>
      <c r="I116" s="236"/>
      <c r="J116" s="249"/>
      <c r="K116" s="162"/>
      <c r="L116" s="162"/>
      <c r="M116" s="162"/>
      <c r="N116" s="162"/>
      <c r="Q116" s="311" t="s">
        <v>417</v>
      </c>
      <c r="R116" s="279"/>
      <c r="S116" s="284"/>
      <c r="T116" s="284"/>
      <c r="U116" s="321"/>
      <c r="V116" s="321"/>
      <c r="W116" s="321"/>
      <c r="X116" s="321"/>
      <c r="Y116" s="321"/>
    </row>
    <row r="117" spans="1:25">
      <c r="A117" s="208"/>
      <c r="E117" s="269">
        <f>S117</f>
        <v>0.25841082999825882</v>
      </c>
      <c r="F117" s="208"/>
      <c r="G117" s="160" t="s">
        <v>220</v>
      </c>
      <c r="H117" s="160"/>
      <c r="I117" s="236"/>
      <c r="J117" s="249"/>
      <c r="K117" s="162"/>
      <c r="L117" s="162"/>
      <c r="M117" s="162"/>
      <c r="N117" s="162"/>
      <c r="P117" s="279" t="s">
        <v>445</v>
      </c>
      <c r="Q117" s="279" t="s">
        <v>418</v>
      </c>
      <c r="R117" s="279"/>
      <c r="S117" s="321">
        <f>IF(P117="Y",VLOOKUP(Q117,Rates2019,3,0)*PercIncr2020,VLOOKUP(Q117,Rates2019,3,0))</f>
        <v>0.25841082999825882</v>
      </c>
      <c r="T117" s="284"/>
      <c r="U117" s="321"/>
      <c r="V117" s="321"/>
      <c r="W117" s="321"/>
      <c r="X117" s="321"/>
      <c r="Y117" s="321"/>
    </row>
    <row r="118" spans="1:25">
      <c r="A118" s="208"/>
      <c r="E118" s="269">
        <f t="shared" ref="E118:E120" si="65">S118</f>
        <v>0.4294179969088715</v>
      </c>
      <c r="F118" s="208"/>
      <c r="G118" s="160" t="s">
        <v>221</v>
      </c>
      <c r="P118" s="279" t="s">
        <v>445</v>
      </c>
      <c r="Q118" s="279" t="s">
        <v>419</v>
      </c>
      <c r="R118" s="279"/>
      <c r="S118" s="321">
        <f>IF(P118="Y",VLOOKUP(Q118,Rates2019,3,0)*PercIncr2020,VLOOKUP(Q118,Rates2019,3,0))</f>
        <v>0.4294179969088715</v>
      </c>
      <c r="T118" s="284"/>
      <c r="U118" s="321"/>
      <c r="V118" s="321"/>
      <c r="W118" s="321"/>
      <c r="X118" s="321"/>
      <c r="Y118" s="321"/>
    </row>
    <row r="119" spans="1:25">
      <c r="A119" s="208"/>
      <c r="E119" s="269">
        <f t="shared" si="65"/>
        <v>0.51808837975141109</v>
      </c>
      <c r="F119" s="208"/>
      <c r="G119" s="160" t="s">
        <v>222</v>
      </c>
      <c r="H119" s="250"/>
      <c r="I119" s="251"/>
      <c r="J119" s="252"/>
      <c r="P119" s="279" t="s">
        <v>445</v>
      </c>
      <c r="Q119" s="279" t="s">
        <v>420</v>
      </c>
      <c r="R119" s="279"/>
      <c r="S119" s="321">
        <f>IF(P119="Y",VLOOKUP(Q119,Rates2019,3,0)*PercIncr2020,VLOOKUP(Q119,Rates2019,3,0))</f>
        <v>0.51808837975141109</v>
      </c>
      <c r="T119" s="284"/>
      <c r="U119" s="321"/>
      <c r="V119" s="321"/>
      <c r="W119" s="321"/>
      <c r="X119" s="321"/>
      <c r="Y119" s="321"/>
    </row>
    <row r="120" spans="1:25">
      <c r="A120" s="208"/>
      <c r="E120" s="269">
        <f t="shared" si="65"/>
        <v>0.67896178862287648</v>
      </c>
      <c r="F120" s="208"/>
      <c r="G120" s="160" t="s">
        <v>223</v>
      </c>
      <c r="I120" s="208"/>
      <c r="J120" s="252"/>
      <c r="P120" s="279" t="s">
        <v>445</v>
      </c>
      <c r="Q120" s="279" t="s">
        <v>421</v>
      </c>
      <c r="R120" s="279"/>
      <c r="S120" s="321">
        <f>IF(P120="Y",VLOOKUP(Q120,Rates2019,3,0)*PercIncr2020,VLOOKUP(Q120,Rates2019,3,0))</f>
        <v>0.67896178862287648</v>
      </c>
      <c r="T120" s="284"/>
      <c r="U120" s="321"/>
      <c r="V120" s="321"/>
      <c r="W120" s="321"/>
      <c r="X120" s="321"/>
      <c r="Y120" s="321"/>
    </row>
    <row r="121" spans="1:25">
      <c r="H121" s="253"/>
      <c r="I121" s="254"/>
      <c r="J121" s="255"/>
      <c r="Q121" s="278"/>
      <c r="R121" s="278"/>
      <c r="S121" s="321"/>
      <c r="T121" s="284"/>
      <c r="U121" s="321"/>
      <c r="V121" s="321"/>
      <c r="W121" s="321"/>
      <c r="X121" s="321"/>
      <c r="Y121" s="321"/>
    </row>
    <row r="122" spans="1:25">
      <c r="A122" s="256"/>
      <c r="D122" s="166" t="s">
        <v>224</v>
      </c>
      <c r="E122" s="166"/>
      <c r="F122" s="256"/>
      <c r="G122" s="256"/>
      <c r="I122" s="257"/>
      <c r="J122" s="258"/>
      <c r="Q122" s="278"/>
      <c r="R122" s="278"/>
      <c r="S122" s="321"/>
      <c r="T122" s="284"/>
      <c r="U122" s="321"/>
      <c r="V122" s="321"/>
      <c r="W122" s="321"/>
      <c r="X122" s="321"/>
      <c r="Y122" s="321"/>
    </row>
    <row r="123" spans="1:25">
      <c r="A123" s="259"/>
      <c r="D123" s="165" t="s">
        <v>453</v>
      </c>
      <c r="E123" s="165"/>
      <c r="F123" s="259"/>
      <c r="G123" s="259"/>
      <c r="H123" s="211" t="str">
        <f>"The employer shall pay a Shift Differential equal to  "&amp;TEXT(S125,"$0.000")&amp;" per hour for all work shifts that have a "</f>
        <v xml:space="preserve">The employer shall pay a Shift Differential equal to  $1.446 per hour for all work shifts that have a </v>
      </c>
      <c r="K123" s="208"/>
      <c r="L123" s="260"/>
      <c r="M123" s="211"/>
      <c r="N123" s="208"/>
      <c r="Q123" s="279"/>
      <c r="R123" s="279"/>
      <c r="S123" s="284"/>
      <c r="T123" s="284"/>
      <c r="U123" s="321"/>
      <c r="V123" s="321"/>
      <c r="W123" s="321"/>
      <c r="X123" s="321"/>
      <c r="Y123" s="321"/>
    </row>
    <row r="124" spans="1:25">
      <c r="A124" s="256"/>
      <c r="D124" s="165" t="s">
        <v>359</v>
      </c>
      <c r="E124" s="165"/>
      <c r="F124" s="256"/>
      <c r="G124" s="256"/>
      <c r="P124" s="278"/>
      <c r="Q124" s="279"/>
      <c r="R124" s="279"/>
      <c r="S124" s="284"/>
      <c r="T124" s="284"/>
      <c r="U124" s="321"/>
      <c r="V124" s="321"/>
      <c r="W124" s="321"/>
      <c r="X124" s="321"/>
      <c r="Y124" s="321"/>
    </row>
    <row r="125" spans="1:25">
      <c r="A125" s="258"/>
      <c r="D125" s="165" t="s">
        <v>227</v>
      </c>
      <c r="E125" s="165"/>
      <c r="F125" s="258"/>
      <c r="G125" s="258"/>
      <c r="P125" s="279" t="s">
        <v>445</v>
      </c>
      <c r="Q125" s="279" t="s">
        <v>423</v>
      </c>
      <c r="R125" s="279" t="s">
        <v>424</v>
      </c>
      <c r="S125" s="321">
        <f>IF(P125="Y",VLOOKUP(Q125,Rates2019,3,0)*PercIncr2020,VLOOKUP(Q125,Rates2019,3,0))</f>
        <v>1.4462055</v>
      </c>
      <c r="T125" s="284"/>
      <c r="U125" s="321"/>
      <c r="V125" s="321"/>
      <c r="W125" s="321"/>
      <c r="X125" s="321"/>
      <c r="Y125" s="321"/>
    </row>
    <row r="126" spans="1:25">
      <c r="A126" s="258"/>
      <c r="D126" s="165" t="s">
        <v>228</v>
      </c>
      <c r="E126" s="165"/>
      <c r="F126" s="258"/>
      <c r="G126" s="258"/>
      <c r="P126" s="279" t="s">
        <v>445</v>
      </c>
      <c r="Q126" s="279" t="s">
        <v>425</v>
      </c>
      <c r="R126" s="279" t="s">
        <v>426</v>
      </c>
      <c r="S126" s="321">
        <f>IF(P126="Y",VLOOKUP(Q126,Rates2019,3,0)*PercIncr2020,VLOOKUP(Q126,Rates2019,3,0))</f>
        <v>1.4462055</v>
      </c>
      <c r="T126" s="284"/>
      <c r="U126" s="321"/>
      <c r="V126" s="321"/>
      <c r="W126" s="321"/>
      <c r="X126" s="321"/>
      <c r="Y126" s="321"/>
    </row>
    <row r="127" spans="1:25">
      <c r="D127" s="165" t="s">
        <v>229</v>
      </c>
      <c r="E127" s="165"/>
      <c r="H127" s="160"/>
      <c r="I127" s="236"/>
      <c r="J127" s="83"/>
      <c r="K127" s="83"/>
      <c r="P127" s="279" t="s">
        <v>445</v>
      </c>
      <c r="Q127" s="279" t="s">
        <v>427</v>
      </c>
      <c r="R127" s="279" t="s">
        <v>428</v>
      </c>
      <c r="S127" s="321">
        <f>IF(P127="Y",VLOOKUP(Q127,Rates2019,3,0)*PercIncr2020,VLOOKUP(Q127,Rates2019,3,0))</f>
        <v>1.4462055</v>
      </c>
      <c r="T127" s="284"/>
      <c r="U127" s="321"/>
      <c r="V127" s="321"/>
      <c r="W127" s="321"/>
      <c r="X127" s="321"/>
      <c r="Y127" s="321"/>
    </row>
    <row r="128" spans="1:25">
      <c r="D128" s="83"/>
      <c r="E128" s="83"/>
      <c r="H128" s="160"/>
      <c r="I128" s="236"/>
      <c r="J128" s="83"/>
      <c r="K128" s="83"/>
      <c r="Q128" s="279"/>
      <c r="R128" s="279"/>
      <c r="S128" s="284"/>
      <c r="T128" s="284"/>
      <c r="U128" s="321"/>
      <c r="V128" s="321"/>
      <c r="W128" s="321"/>
      <c r="X128" s="321"/>
      <c r="Y128" s="321"/>
    </row>
    <row r="129" spans="1:25">
      <c r="A129" s="83"/>
      <c r="D129" s="83" t="s">
        <v>454</v>
      </c>
      <c r="E129" s="83"/>
      <c r="F129" s="83"/>
      <c r="G129" s="83"/>
      <c r="H129" s="160"/>
      <c r="I129" s="236"/>
      <c r="J129" s="83"/>
      <c r="K129" s="83"/>
      <c r="P129" s="279" t="s">
        <v>445</v>
      </c>
      <c r="Q129" s="279" t="s">
        <v>431</v>
      </c>
      <c r="R129" s="279" t="s">
        <v>432</v>
      </c>
      <c r="S129" s="321">
        <f>IF(P129="Y",VLOOKUP(Q129,Rates2019,3,0)*PercIncr2020,VLOOKUP(Q129,Rates2019,3,0))</f>
        <v>1.2865394999999999</v>
      </c>
      <c r="T129" s="284"/>
      <c r="U129" s="321"/>
      <c r="V129" s="321"/>
      <c r="W129" s="321"/>
      <c r="X129" s="321"/>
      <c r="Y129" s="321"/>
    </row>
    <row r="130" spans="1:25">
      <c r="D130" s="210" t="s">
        <v>455</v>
      </c>
      <c r="Q130" s="279"/>
      <c r="R130" s="279"/>
      <c r="S130" s="279"/>
      <c r="T130" s="279"/>
    </row>
    <row r="131" spans="1:25">
      <c r="A131" s="83"/>
      <c r="F131" s="83"/>
      <c r="G131" s="83"/>
      <c r="Q131" s="279"/>
      <c r="R131" s="279"/>
      <c r="S131" s="279"/>
      <c r="T131" s="279"/>
    </row>
    <row r="132" spans="1:25">
      <c r="A132" s="83"/>
      <c r="D132" s="159"/>
      <c r="E132" s="159"/>
      <c r="F132" s="83"/>
      <c r="G132" s="83"/>
      <c r="Q132" s="278"/>
      <c r="R132" s="278"/>
      <c r="T132" s="279"/>
    </row>
    <row r="133" spans="1:25">
      <c r="A133" s="83"/>
      <c r="D133" s="166" t="s">
        <v>456</v>
      </c>
      <c r="E133" s="166"/>
      <c r="F133" s="83"/>
      <c r="G133" s="83"/>
      <c r="H133" s="160"/>
      <c r="J133" s="83"/>
      <c r="K133" s="83"/>
      <c r="L133" s="83"/>
      <c r="M133" s="162"/>
      <c r="N133" s="162"/>
      <c r="Q133" s="279"/>
      <c r="R133" s="279"/>
      <c r="S133" s="279"/>
      <c r="T133" s="279"/>
      <c r="U133" s="287"/>
    </row>
    <row r="134" spans="1:25">
      <c r="A134" s="83"/>
      <c r="D134" s="165" t="s">
        <v>181</v>
      </c>
      <c r="E134" s="165"/>
      <c r="F134" s="83"/>
      <c r="G134" s="83"/>
      <c r="H134" s="160"/>
      <c r="J134" s="83"/>
      <c r="K134" s="83"/>
      <c r="L134" s="83"/>
      <c r="M134" s="162"/>
      <c r="N134" s="162"/>
      <c r="Q134" s="279"/>
      <c r="R134" s="279"/>
      <c r="S134" s="279"/>
      <c r="T134" s="279"/>
      <c r="U134" s="287"/>
      <c r="V134" s="287"/>
    </row>
    <row r="135" spans="1:25" ht="26.25">
      <c r="A135" s="208"/>
      <c r="D135" s="166"/>
      <c r="E135" s="166"/>
      <c r="F135" s="83"/>
      <c r="G135" s="168" t="s">
        <v>182</v>
      </c>
      <c r="H135" s="169" t="s">
        <v>183</v>
      </c>
      <c r="I135" s="208"/>
      <c r="J135" s="83"/>
      <c r="K135" s="83"/>
      <c r="L135" s="83"/>
      <c r="M135" s="162"/>
      <c r="N135" s="162"/>
      <c r="Q135" s="279"/>
      <c r="R135" s="279"/>
      <c r="S135" s="279"/>
      <c r="T135" s="279"/>
      <c r="U135" s="287"/>
      <c r="V135" s="287"/>
    </row>
    <row r="136" spans="1:25">
      <c r="A136" s="208"/>
      <c r="D136" s="208"/>
      <c r="E136" s="208"/>
      <c r="F136" s="83"/>
      <c r="G136" s="162" t="s">
        <v>154</v>
      </c>
      <c r="H136" s="162" t="s">
        <v>184</v>
      </c>
      <c r="I136" s="208"/>
      <c r="J136" s="83"/>
      <c r="K136" s="83"/>
      <c r="L136" s="83"/>
      <c r="M136" s="162"/>
      <c r="N136" s="162"/>
      <c r="O136" s="208"/>
      <c r="Q136" s="279"/>
      <c r="R136" s="278"/>
      <c r="T136" s="279"/>
      <c r="U136" s="287"/>
      <c r="V136" s="287"/>
      <c r="W136" s="287"/>
    </row>
    <row r="137" spans="1:25">
      <c r="A137" s="208"/>
      <c r="D137" s="163"/>
      <c r="E137" s="163"/>
      <c r="F137" s="83"/>
      <c r="G137" s="162" t="s">
        <v>156</v>
      </c>
      <c r="H137" s="162" t="s">
        <v>185</v>
      </c>
      <c r="I137" s="208"/>
      <c r="J137" s="83"/>
      <c r="K137" s="83"/>
      <c r="L137" s="83"/>
      <c r="M137" s="162"/>
      <c r="N137" s="162"/>
      <c r="Q137" s="278"/>
      <c r="R137" s="279"/>
      <c r="S137" s="279"/>
      <c r="V137" s="287"/>
      <c r="W137" s="287"/>
    </row>
    <row r="138" spans="1:25" s="164" customFormat="1">
      <c r="A138" s="208"/>
      <c r="C138" s="209"/>
      <c r="D138" s="208"/>
      <c r="E138" s="160"/>
      <c r="F138" s="208"/>
      <c r="G138" s="162" t="s">
        <v>158</v>
      </c>
      <c r="H138" s="162" t="s">
        <v>186</v>
      </c>
      <c r="I138" s="208"/>
      <c r="J138" s="83"/>
      <c r="K138" s="83"/>
      <c r="L138" s="83"/>
      <c r="M138" s="162"/>
      <c r="N138" s="162"/>
      <c r="O138" s="159"/>
      <c r="P138" s="279"/>
      <c r="Q138" s="279"/>
      <c r="R138" s="279"/>
      <c r="S138" s="279"/>
      <c r="T138" s="279"/>
      <c r="U138" s="278"/>
      <c r="V138" s="287"/>
      <c r="W138" s="287"/>
      <c r="X138" s="287"/>
      <c r="Y138" s="287"/>
    </row>
    <row r="139" spans="1:25" s="164" customFormat="1">
      <c r="A139" s="162"/>
      <c r="C139" s="209"/>
      <c r="D139" s="210"/>
      <c r="E139" s="210"/>
      <c r="F139" s="162"/>
      <c r="G139" s="162"/>
      <c r="H139" s="211"/>
      <c r="I139" s="167"/>
      <c r="J139" s="159"/>
      <c r="K139" s="159"/>
      <c r="L139" s="159"/>
      <c r="M139" s="159"/>
      <c r="N139" s="159"/>
      <c r="O139" s="159"/>
      <c r="P139" s="279"/>
      <c r="Q139" s="279"/>
      <c r="R139" s="279"/>
      <c r="S139" s="279"/>
      <c r="T139" s="279"/>
      <c r="U139" s="278"/>
      <c r="V139" s="278"/>
      <c r="W139" s="287"/>
      <c r="X139" s="287"/>
      <c r="Y139" s="287"/>
    </row>
    <row r="140" spans="1:25" s="164" customFormat="1">
      <c r="A140" s="83"/>
      <c r="C140" s="159"/>
      <c r="D140" s="165"/>
      <c r="E140" s="165"/>
      <c r="F140" s="83"/>
      <c r="G140" s="83"/>
      <c r="H140" s="211"/>
      <c r="I140" s="167"/>
      <c r="J140" s="159"/>
      <c r="K140" s="159"/>
      <c r="L140" s="159"/>
      <c r="M140" s="159"/>
      <c r="N140" s="159"/>
      <c r="O140" s="159"/>
      <c r="P140" s="279"/>
      <c r="Q140" s="279"/>
      <c r="R140" s="279"/>
      <c r="S140" s="279"/>
      <c r="T140" s="279"/>
      <c r="U140" s="278"/>
      <c r="V140" s="278"/>
      <c r="W140" s="278"/>
      <c r="X140" s="287"/>
      <c r="Y140" s="287"/>
    </row>
    <row r="141" spans="1:25" s="164" customFormat="1">
      <c r="A141" s="159"/>
      <c r="C141" s="159"/>
      <c r="D141" s="261" t="s">
        <v>364</v>
      </c>
      <c r="E141" s="210"/>
      <c r="F141" s="159"/>
      <c r="G141" s="159"/>
      <c r="H141" s="211"/>
      <c r="I141" s="167"/>
      <c r="J141" s="159"/>
      <c r="K141" s="159"/>
      <c r="L141" s="159"/>
      <c r="M141" s="159"/>
      <c r="N141" s="159"/>
      <c r="O141" s="159"/>
      <c r="P141" s="279"/>
      <c r="Q141" s="279"/>
      <c r="R141" s="279"/>
      <c r="S141" s="279"/>
      <c r="T141" s="279"/>
      <c r="U141" s="278"/>
      <c r="V141" s="278"/>
      <c r="W141" s="278"/>
      <c r="X141" s="287"/>
      <c r="Y141" s="287"/>
    </row>
    <row r="142" spans="1:25">
      <c r="D142" s="262" t="s">
        <v>365</v>
      </c>
      <c r="Q142" s="279"/>
      <c r="R142" s="279"/>
      <c r="S142" s="279"/>
      <c r="T142" s="279"/>
    </row>
    <row r="143" spans="1:25">
      <c r="D143" s="210" t="s">
        <v>366</v>
      </c>
      <c r="Q143" s="279"/>
      <c r="R143" s="279"/>
      <c r="S143" s="279"/>
      <c r="T143" s="279"/>
    </row>
    <row r="144" spans="1:25">
      <c r="D144" s="159"/>
      <c r="Q144" s="279"/>
      <c r="R144" s="279"/>
      <c r="S144" s="279"/>
      <c r="T144" s="279"/>
    </row>
    <row r="145" spans="4:20">
      <c r="D145" s="262" t="s">
        <v>367</v>
      </c>
      <c r="Q145" s="279"/>
      <c r="R145" s="279"/>
      <c r="S145" s="279"/>
      <c r="T145" s="279"/>
    </row>
    <row r="146" spans="4:20">
      <c r="D146" s="262" t="s">
        <v>368</v>
      </c>
      <c r="Q146" s="279"/>
      <c r="R146" s="279"/>
      <c r="S146" s="279"/>
      <c r="T146" s="279"/>
    </row>
    <row r="147" spans="4:20">
      <c r="D147" s="159"/>
      <c r="Q147" s="279"/>
      <c r="R147" s="279"/>
      <c r="S147" s="279"/>
      <c r="T147" s="279"/>
    </row>
    <row r="148" spans="4:20">
      <c r="D148" s="262" t="s">
        <v>369</v>
      </c>
      <c r="Q148" s="279"/>
      <c r="R148" s="279"/>
      <c r="S148" s="279"/>
      <c r="T148" s="279"/>
    </row>
    <row r="149" spans="4:20">
      <c r="D149" s="210" t="s">
        <v>370</v>
      </c>
      <c r="Q149" s="279"/>
      <c r="R149" s="279"/>
      <c r="S149" s="279"/>
      <c r="T149" s="279"/>
    </row>
    <row r="150" spans="4:20">
      <c r="Q150" s="279"/>
      <c r="R150" s="279"/>
      <c r="S150" s="279"/>
      <c r="T150" s="279"/>
    </row>
  </sheetData>
  <pageMargins left="0.25" right="0.25" top="0.75" bottom="0.75" header="0.3" footer="0.3"/>
  <pageSetup scale="98" orientation="landscape" r:id="rId1"/>
  <headerFooter alignWithMargins="0"/>
  <rowBreaks count="1" manualBreakCount="1">
    <brk id="84"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C1F61-614F-49A9-B5FD-5F0BA40306B1}">
  <sheetPr codeName="Sheet7"/>
  <dimension ref="A1:AD150"/>
  <sheetViews>
    <sheetView showGridLines="0" topLeftCell="A64" zoomScaleNormal="100" workbookViewId="0">
      <selection activeCell="AH51" sqref="AH51"/>
    </sheetView>
  </sheetViews>
  <sheetFormatPr defaultColWidth="9.140625" defaultRowHeight="15"/>
  <cols>
    <col min="1" max="1" width="6.42578125" style="159" bestFit="1" customWidth="1"/>
    <col min="2" max="2" width="7.5703125" style="208" customWidth="1"/>
    <col min="3" max="3" width="10.85546875" style="159" customWidth="1"/>
    <col min="4" max="4" width="8.42578125" style="210" customWidth="1"/>
    <col min="5" max="5" width="9.85546875" style="210" bestFit="1" customWidth="1"/>
    <col min="6" max="6" width="37.28515625" style="159" hidden="1" customWidth="1"/>
    <col min="7" max="7" width="10.140625" style="159" customWidth="1"/>
    <col min="8" max="8" width="57.85546875" style="211" bestFit="1" customWidth="1"/>
    <col min="9" max="9" width="9.5703125" style="167" customWidth="1"/>
    <col min="10" max="14" width="9.5703125" style="159" customWidth="1"/>
    <col min="15" max="15" width="11" style="159" bestFit="1" customWidth="1"/>
    <col min="16" max="16" width="12.140625" style="279" hidden="1" customWidth="1"/>
    <col min="17" max="17" width="13.5703125" style="280" hidden="1" customWidth="1"/>
    <col min="18" max="18" width="57.85546875" style="308" hidden="1" customWidth="1"/>
    <col min="19" max="25" width="11" style="278" hidden="1" customWidth="1"/>
    <col min="26" max="26" width="8.42578125" style="208" hidden="1" customWidth="1"/>
    <col min="27" max="28" width="0" style="208" hidden="1" customWidth="1"/>
    <col min="29" max="16384" width="9.140625" style="208"/>
  </cols>
  <sheetData>
    <row r="1" spans="1:26">
      <c r="A1" s="209" t="s">
        <v>316</v>
      </c>
      <c r="Q1" s="319"/>
      <c r="R1" s="308" t="s">
        <v>436</v>
      </c>
    </row>
    <row r="2" spans="1:26">
      <c r="A2" s="212" t="s">
        <v>0</v>
      </c>
      <c r="C2" s="208"/>
      <c r="D2" s="159"/>
      <c r="E2" s="211"/>
      <c r="F2" s="162"/>
      <c r="G2" s="162"/>
      <c r="H2" s="162"/>
      <c r="I2" s="162"/>
      <c r="J2" s="162"/>
      <c r="K2" s="162"/>
      <c r="Q2" s="320"/>
    </row>
    <row r="3" spans="1:26">
      <c r="A3" s="212" t="s">
        <v>438</v>
      </c>
      <c r="C3" s="208"/>
      <c r="D3" s="209"/>
      <c r="E3" s="211"/>
      <c r="F3" s="213"/>
      <c r="G3" s="213"/>
      <c r="H3" s="213"/>
      <c r="I3" s="213"/>
      <c r="J3" s="213"/>
      <c r="K3" s="213"/>
    </row>
    <row r="4" spans="1:26">
      <c r="A4" s="159" t="s">
        <v>318</v>
      </c>
      <c r="C4" s="208"/>
    </row>
    <row r="5" spans="1:26" ht="30">
      <c r="A5" s="215" t="s">
        <v>373</v>
      </c>
      <c r="B5" s="216" t="s">
        <v>2</v>
      </c>
      <c r="C5" s="216" t="s">
        <v>374</v>
      </c>
      <c r="D5" s="216" t="s">
        <v>375</v>
      </c>
      <c r="E5" s="215" t="s">
        <v>376</v>
      </c>
      <c r="F5" s="216" t="s">
        <v>439</v>
      </c>
      <c r="G5" s="216" t="s">
        <v>7</v>
      </c>
      <c r="H5" s="217" t="s">
        <v>440</v>
      </c>
      <c r="I5" s="213" t="s">
        <v>154</v>
      </c>
      <c r="J5" s="213" t="s">
        <v>156</v>
      </c>
      <c r="K5" s="213" t="s">
        <v>158</v>
      </c>
      <c r="L5" s="213" t="s">
        <v>170</v>
      </c>
      <c r="M5" s="213" t="s">
        <v>441</v>
      </c>
      <c r="N5" s="213" t="s">
        <v>442</v>
      </c>
      <c r="O5" s="213" t="s">
        <v>443</v>
      </c>
      <c r="P5" s="286" t="s">
        <v>444</v>
      </c>
      <c r="Q5" s="281" t="s">
        <v>7</v>
      </c>
      <c r="R5" s="282" t="s">
        <v>440</v>
      </c>
      <c r="S5" s="283" t="s">
        <v>154</v>
      </c>
      <c r="T5" s="283" t="s">
        <v>156</v>
      </c>
      <c r="U5" s="283" t="s">
        <v>158</v>
      </c>
      <c r="V5" s="283" t="s">
        <v>170</v>
      </c>
      <c r="W5" s="283" t="s">
        <v>441</v>
      </c>
      <c r="X5" s="283" t="s">
        <v>442</v>
      </c>
      <c r="Y5" s="283" t="s">
        <v>443</v>
      </c>
    </row>
    <row r="6" spans="1:26">
      <c r="A6" s="219">
        <v>15</v>
      </c>
      <c r="B6" s="162">
        <v>228</v>
      </c>
      <c r="C6" s="162">
        <v>5</v>
      </c>
      <c r="D6" s="162" t="s">
        <v>17</v>
      </c>
      <c r="E6" s="162" t="s">
        <v>18</v>
      </c>
      <c r="F6" s="219">
        <v>15</v>
      </c>
      <c r="G6" s="162" t="s">
        <v>45</v>
      </c>
      <c r="H6" s="211" t="s">
        <v>46</v>
      </c>
      <c r="I6" s="269">
        <f>S6</f>
        <v>29.767710897284999</v>
      </c>
      <c r="J6" s="269"/>
      <c r="K6" s="269"/>
      <c r="L6" s="269"/>
      <c r="M6" s="269"/>
      <c r="N6" s="269"/>
      <c r="O6" s="220"/>
      <c r="P6" s="313" t="s">
        <v>445</v>
      </c>
      <c r="Q6" s="286" t="str">
        <f>G6</f>
        <v>00500C</v>
      </c>
      <c r="R6" s="309" t="str">
        <f>H6</f>
        <v>Asphalt Raker</v>
      </c>
      <c r="S6" s="321">
        <f t="shared" ref="S6:S52" si="0">IF($P6="Y",((VLOOKUP($Q6,Rates2019,3,0)+LIUNA2020)*PercIncr2020)-LIUNA2020,VLOOKUP($Q6,Rates2019,3,0))</f>
        <v>29.767710897284999</v>
      </c>
      <c r="T6" s="321"/>
      <c r="U6" s="321"/>
      <c r="V6" s="322"/>
      <c r="W6" s="321"/>
      <c r="X6" s="321"/>
      <c r="Y6" s="321"/>
    </row>
    <row r="7" spans="1:26">
      <c r="A7" s="219" t="s">
        <v>319</v>
      </c>
      <c r="B7" s="162">
        <v>228</v>
      </c>
      <c r="C7" s="162">
        <v>5</v>
      </c>
      <c r="D7" s="162" t="s">
        <v>17</v>
      </c>
      <c r="E7" s="162" t="s">
        <v>18</v>
      </c>
      <c r="F7" s="219" t="s">
        <v>19</v>
      </c>
      <c r="G7" s="162" t="s">
        <v>21</v>
      </c>
      <c r="H7" s="211" t="s">
        <v>22</v>
      </c>
      <c r="I7" s="269">
        <f t="shared" ref="I7:O50" si="1">S7</f>
        <v>25.924638155836281</v>
      </c>
      <c r="J7" s="269">
        <f t="shared" si="1"/>
        <v>26.73717887738875</v>
      </c>
      <c r="K7" s="269">
        <f t="shared" si="1"/>
        <v>27.574095820587793</v>
      </c>
      <c r="L7" s="269">
        <f t="shared" si="1"/>
        <v>28.436120272082814</v>
      </c>
      <c r="M7" s="269"/>
      <c r="N7" s="269"/>
      <c r="O7" s="220"/>
      <c r="P7" s="312" t="s">
        <v>445</v>
      </c>
      <c r="Q7" s="286" t="str">
        <f t="shared" ref="Q7:R52" si="2">G7</f>
        <v>00505C</v>
      </c>
      <c r="R7" s="309" t="str">
        <f t="shared" si="2"/>
        <v>Asphalt Raker Apprentice I (1st 522 hours)</v>
      </c>
      <c r="S7" s="321">
        <f t="shared" si="0"/>
        <v>25.924638155836281</v>
      </c>
      <c r="T7" s="321">
        <f>IF($P7="Y",((VLOOKUP($Q7,Rates2019,4,0)+LIUNA2020)*PercIncr2020)-LIUNA2020,VLOOKUP($Q7,Rates2019,4,0))</f>
        <v>26.73717887738875</v>
      </c>
      <c r="U7" s="321">
        <f>IF($P7="Y",((VLOOKUP($Q7,Rates2019,5,0)+LIUNA2020)*PercIncr2020)-LIUNA2020,VLOOKUP($Q7,Rates2019,5,0))</f>
        <v>27.574095820587793</v>
      </c>
      <c r="V7" s="321">
        <f>IF($P7="Y",((VLOOKUP($Q7,Rates2019,6,0)+LIUNA2020)*PercIncr2020)-LIUNA2020,VLOOKUP($Q7,Rates2019,6,0))</f>
        <v>28.436120272082814</v>
      </c>
      <c r="W7" s="321"/>
      <c r="X7" s="321"/>
      <c r="Y7" s="321"/>
    </row>
    <row r="8" spans="1:26">
      <c r="A8" s="219" t="s">
        <v>321</v>
      </c>
      <c r="B8" s="162">
        <v>228</v>
      </c>
      <c r="C8" s="162">
        <v>5</v>
      </c>
      <c r="D8" s="162" t="s">
        <v>17</v>
      </c>
      <c r="E8" s="162" t="s">
        <v>18</v>
      </c>
      <c r="F8" s="219" t="s">
        <v>19</v>
      </c>
      <c r="G8" s="162" t="s">
        <v>25</v>
      </c>
      <c r="H8" s="211" t="s">
        <v>26</v>
      </c>
      <c r="I8" s="269">
        <f t="shared" si="1"/>
        <v>26.359296895260496</v>
      </c>
      <c r="J8" s="269">
        <f t="shared" si="1"/>
        <v>27.171837616812969</v>
      </c>
      <c r="K8" s="269">
        <f t="shared" si="1"/>
        <v>28.008754560012008</v>
      </c>
      <c r="L8" s="269">
        <f t="shared" si="1"/>
        <v>28.870779011507022</v>
      </c>
      <c r="M8" s="269"/>
      <c r="N8" s="269"/>
      <c r="O8" s="220"/>
      <c r="P8" s="312" t="s">
        <v>445</v>
      </c>
      <c r="Q8" s="286" t="str">
        <f t="shared" si="2"/>
        <v>00507C</v>
      </c>
      <c r="R8" s="309" t="str">
        <f t="shared" si="2"/>
        <v>Asphalt Raker Apprentice II (2nd 522 hours)</v>
      </c>
      <c r="S8" s="321">
        <f t="shared" si="0"/>
        <v>26.359296895260496</v>
      </c>
      <c r="T8" s="321">
        <f>IF($P8="Y",((VLOOKUP($Q8,Rates2019,4,0)+LIUNA2020)*PercIncr2020)-LIUNA2020,VLOOKUP($Q8,Rates2019,4,0))</f>
        <v>27.171837616812969</v>
      </c>
      <c r="U8" s="321">
        <f>IF($P8="Y",((VLOOKUP($Q8,Rates2019,5,0)+LIUNA2020)*PercIncr2020)-LIUNA2020,VLOOKUP($Q8,Rates2019,5,0))</f>
        <v>28.008754560012008</v>
      </c>
      <c r="V8" s="321">
        <f>IF($P8="Y",((VLOOKUP($Q8,Rates2019,6,0)+LIUNA2020)*PercIncr2020)-LIUNA2020,VLOOKUP($Q8,Rates2019,6,0))</f>
        <v>28.870779011507022</v>
      </c>
      <c r="W8" s="321"/>
      <c r="X8" s="321"/>
      <c r="Y8" s="321"/>
    </row>
    <row r="9" spans="1:26">
      <c r="A9" s="219" t="s">
        <v>47</v>
      </c>
      <c r="B9" s="162">
        <v>178</v>
      </c>
      <c r="C9" s="162">
        <v>3</v>
      </c>
      <c r="D9" s="162" t="s">
        <v>17</v>
      </c>
      <c r="E9" s="162" t="s">
        <v>18</v>
      </c>
      <c r="F9" s="219" t="s">
        <v>47</v>
      </c>
      <c r="G9" s="162" t="s">
        <v>48</v>
      </c>
      <c r="H9" s="211" t="s">
        <v>49</v>
      </c>
      <c r="I9" s="269">
        <f t="shared" si="1"/>
        <v>15.605168330675491</v>
      </c>
      <c r="J9" s="269">
        <f t="shared" si="1"/>
        <v>18.170856723312237</v>
      </c>
      <c r="K9" s="269">
        <f t="shared" si="1"/>
        <v>19.221506120096983</v>
      </c>
      <c r="L9" s="269">
        <f t="shared" si="1"/>
        <v>24.178416094671157</v>
      </c>
      <c r="M9" s="269"/>
      <c r="N9" s="269"/>
      <c r="O9" s="220"/>
      <c r="P9" s="313" t="s">
        <v>445</v>
      </c>
      <c r="Q9" s="286" t="str">
        <f t="shared" si="2"/>
        <v>01060C</v>
      </c>
      <c r="R9" s="309" t="str">
        <f t="shared" si="2"/>
        <v>Attendant Impound Lot</v>
      </c>
      <c r="S9" s="321">
        <f t="shared" si="0"/>
        <v>15.605168330675491</v>
      </c>
      <c r="T9" s="321">
        <f>IF($P9="Y",((VLOOKUP($Q9,Rates2019,4,0)+LIUNA2020)*PercIncr2020)-LIUNA2020,VLOOKUP($Q9,Rates2019,4,0))</f>
        <v>18.170856723312237</v>
      </c>
      <c r="U9" s="321">
        <f>IF($P9="Y",((VLOOKUP($Q9,Rates2019,5,0)+LIUNA2020)*PercIncr2020)-LIUNA2020,VLOOKUP($Q9,Rates2019,5,0))</f>
        <v>19.221506120096983</v>
      </c>
      <c r="V9" s="321">
        <f>IF($P9="Y",((VLOOKUP($Q9,Rates2019,6,0)+LIUNA2020)*PercIncr2020)-LIUNA2020,VLOOKUP($Q9,Rates2019,6,0))</f>
        <v>24.178416094671157</v>
      </c>
      <c r="W9" s="321"/>
      <c r="X9" s="321"/>
      <c r="Y9" s="321"/>
    </row>
    <row r="10" spans="1:26">
      <c r="A10" s="219">
        <v>18</v>
      </c>
      <c r="B10" s="162">
        <v>280</v>
      </c>
      <c r="C10" s="162">
        <v>6</v>
      </c>
      <c r="D10" s="162" t="s">
        <v>17</v>
      </c>
      <c r="E10" s="162" t="s">
        <v>18</v>
      </c>
      <c r="F10" s="219">
        <v>18</v>
      </c>
      <c r="G10" s="162" t="s">
        <v>50</v>
      </c>
      <c r="H10" s="211" t="s">
        <v>51</v>
      </c>
      <c r="I10" s="269">
        <f t="shared" si="1"/>
        <v>33.354215535610003</v>
      </c>
      <c r="J10" s="269"/>
      <c r="K10" s="269"/>
      <c r="L10" s="269"/>
      <c r="M10" s="269"/>
      <c r="N10" s="269"/>
      <c r="O10" s="220"/>
      <c r="P10" s="313" t="s">
        <v>445</v>
      </c>
      <c r="Q10" s="286" t="str">
        <f t="shared" si="2"/>
        <v>01570C</v>
      </c>
      <c r="R10" s="309" t="str">
        <f t="shared" si="2"/>
        <v>Cement Finisher Journeyman</v>
      </c>
      <c r="S10" s="321">
        <f t="shared" si="0"/>
        <v>33.354215535610003</v>
      </c>
      <c r="T10" s="321"/>
      <c r="U10" s="321"/>
      <c r="V10" s="322"/>
      <c r="W10" s="321"/>
      <c r="X10" s="321"/>
      <c r="Y10" s="321"/>
    </row>
    <row r="11" spans="1:26">
      <c r="A11" s="219" t="s">
        <v>321</v>
      </c>
      <c r="B11" s="162">
        <v>280</v>
      </c>
      <c r="C11" s="162">
        <v>6</v>
      </c>
      <c r="D11" s="162" t="s">
        <v>17</v>
      </c>
      <c r="E11" s="162" t="s">
        <v>18</v>
      </c>
      <c r="F11" s="219" t="s">
        <v>19</v>
      </c>
      <c r="G11" s="162" t="s">
        <v>31</v>
      </c>
      <c r="H11" s="211" t="s">
        <v>32</v>
      </c>
      <c r="I11" s="269">
        <f t="shared" si="1"/>
        <v>26.359296895260496</v>
      </c>
      <c r="J11" s="269">
        <f t="shared" si="1"/>
        <v>27.171837616812969</v>
      </c>
      <c r="K11" s="269">
        <f t="shared" si="1"/>
        <v>28.008754560012008</v>
      </c>
      <c r="L11" s="269">
        <f t="shared" si="1"/>
        <v>28.870779011507022</v>
      </c>
      <c r="M11" s="269"/>
      <c r="N11" s="269"/>
      <c r="O11" s="220"/>
      <c r="P11" s="313" t="s">
        <v>445</v>
      </c>
      <c r="Q11" s="286" t="str">
        <f t="shared" si="2"/>
        <v>01585C</v>
      </c>
      <c r="R11" s="309" t="str">
        <f t="shared" si="2"/>
        <v>Cement Finisher Apprentice I (1st 174 hours)</v>
      </c>
      <c r="S11" s="321">
        <f t="shared" si="0"/>
        <v>26.359296895260496</v>
      </c>
      <c r="T11" s="321">
        <f>IF($P11="Y",((VLOOKUP($Q11,Rates2019,4,0)+LIUNA2020)*PercIncr2020)-LIUNA2020,VLOOKUP($Q11,Rates2019,4,0))</f>
        <v>27.171837616812969</v>
      </c>
      <c r="U11" s="321">
        <f>IF($P11="Y",((VLOOKUP($Q11,Rates2019,5,0)+LIUNA2020)*PercIncr2020)-LIUNA2020,VLOOKUP($Q11,Rates2019,5,0))</f>
        <v>28.008754560012008</v>
      </c>
      <c r="V11" s="321">
        <f>IF($P11="Y",((VLOOKUP($Q11,Rates2019,6,0)+LIUNA2020)*PercIncr2020)-LIUNA2020,VLOOKUP($Q11,Rates2019,6,0))</f>
        <v>28.870779011507022</v>
      </c>
      <c r="W11" s="321"/>
      <c r="X11" s="321"/>
      <c r="Y11" s="321"/>
    </row>
    <row r="12" spans="1:26">
      <c r="A12" s="219" t="s">
        <v>322</v>
      </c>
      <c r="B12" s="162">
        <v>280</v>
      </c>
      <c r="C12" s="162">
        <v>6</v>
      </c>
      <c r="D12" s="162" t="s">
        <v>17</v>
      </c>
      <c r="E12" s="162" t="s">
        <v>18</v>
      </c>
      <c r="F12" s="219" t="s">
        <v>19</v>
      </c>
      <c r="G12" s="162" t="s">
        <v>35</v>
      </c>
      <c r="H12" s="211" t="s">
        <v>36</v>
      </c>
      <c r="I12" s="269">
        <f t="shared" si="1"/>
        <v>26.731861529052672</v>
      </c>
      <c r="J12" s="269">
        <f t="shared" si="1"/>
        <v>27.544402250605149</v>
      </c>
      <c r="K12" s="269">
        <f t="shared" si="1"/>
        <v>28.381319193804188</v>
      </c>
      <c r="L12" s="269">
        <f t="shared" si="1"/>
        <v>29.243343645299209</v>
      </c>
      <c r="M12" s="269"/>
      <c r="N12" s="269"/>
      <c r="O12" s="220"/>
      <c r="P12" s="313" t="s">
        <v>445</v>
      </c>
      <c r="Q12" s="286" t="str">
        <f t="shared" si="2"/>
        <v>01586C</v>
      </c>
      <c r="R12" s="309" t="str">
        <f t="shared" si="2"/>
        <v>Cement Finisher Apprentice II (Next 696 hours)</v>
      </c>
      <c r="S12" s="321">
        <f t="shared" si="0"/>
        <v>26.731861529052672</v>
      </c>
      <c r="T12" s="321">
        <f>IF($P12="Y",((VLOOKUP($Q12,Rates2019,4,0)+LIUNA2020)*PercIncr2020)-LIUNA2020,VLOOKUP($Q12,Rates2019,4,0))</f>
        <v>27.544402250605149</v>
      </c>
      <c r="U12" s="321">
        <f>IF($P12="Y",((VLOOKUP($Q12,Rates2019,5,0)+LIUNA2020)*PercIncr2020)-LIUNA2020,VLOOKUP($Q12,Rates2019,5,0))</f>
        <v>28.381319193804188</v>
      </c>
      <c r="V12" s="321">
        <f>IF($P12="Y",((VLOOKUP($Q12,Rates2019,6,0)+LIUNA2020)*PercIncr2020)-LIUNA2020,VLOOKUP($Q12,Rates2019,6,0))</f>
        <v>29.243343645299209</v>
      </c>
      <c r="W12" s="321"/>
      <c r="X12" s="321"/>
      <c r="Y12" s="321"/>
    </row>
    <row r="13" spans="1:26">
      <c r="A13" s="219" t="s">
        <v>323</v>
      </c>
      <c r="B13" s="162">
        <v>280</v>
      </c>
      <c r="C13" s="162">
        <v>6</v>
      </c>
      <c r="D13" s="162" t="s">
        <v>17</v>
      </c>
      <c r="E13" s="162" t="s">
        <v>18</v>
      </c>
      <c r="F13" s="219" t="s">
        <v>19</v>
      </c>
      <c r="G13" s="162" t="s">
        <v>39</v>
      </c>
      <c r="H13" s="211" t="s">
        <v>40</v>
      </c>
      <c r="I13" s="269">
        <f t="shared" si="1"/>
        <v>27.911649536061255</v>
      </c>
      <c r="J13" s="269">
        <f t="shared" si="1"/>
        <v>28.724190257613731</v>
      </c>
      <c r="K13" s="269">
        <f t="shared" si="1"/>
        <v>29.561107200812771</v>
      </c>
      <c r="L13" s="269">
        <f t="shared" si="1"/>
        <v>30.423131652307791</v>
      </c>
      <c r="M13" s="269"/>
      <c r="N13" s="269"/>
      <c r="O13" s="220"/>
      <c r="P13" s="313" t="s">
        <v>445</v>
      </c>
      <c r="Q13" s="286" t="str">
        <f t="shared" si="2"/>
        <v>01587C</v>
      </c>
      <c r="R13" s="309" t="str">
        <f t="shared" si="2"/>
        <v>Cement Finisher Apprentice III (Next 696 hours)</v>
      </c>
      <c r="S13" s="321">
        <f t="shared" si="0"/>
        <v>27.911649536061255</v>
      </c>
      <c r="T13" s="321">
        <f>IF($P13="Y",((VLOOKUP($Q13,Rates2019,4,0)+LIUNA2020)*PercIncr2020)-LIUNA2020,VLOOKUP($Q13,Rates2019,4,0))</f>
        <v>28.724190257613731</v>
      </c>
      <c r="U13" s="321">
        <f>IF($P13="Y",((VLOOKUP($Q13,Rates2019,5,0)+LIUNA2020)*PercIncr2020)-LIUNA2020,VLOOKUP($Q13,Rates2019,5,0))</f>
        <v>29.561107200812771</v>
      </c>
      <c r="V13" s="321">
        <f>IF($P13="Y",((VLOOKUP($Q13,Rates2019,6,0)+LIUNA2020)*PercIncr2020)-LIUNA2020,VLOOKUP($Q13,Rates2019,6,0))</f>
        <v>30.423131652307791</v>
      </c>
      <c r="W13" s="321"/>
      <c r="X13" s="321"/>
      <c r="Y13" s="321"/>
    </row>
    <row r="14" spans="1:26">
      <c r="A14" s="219" t="s">
        <v>324</v>
      </c>
      <c r="B14" s="162">
        <v>280</v>
      </c>
      <c r="C14" s="162">
        <v>6</v>
      </c>
      <c r="D14" s="162" t="s">
        <v>17</v>
      </c>
      <c r="E14" s="162" t="s">
        <v>18</v>
      </c>
      <c r="F14" s="219" t="s">
        <v>19</v>
      </c>
      <c r="G14" s="162" t="s">
        <v>42</v>
      </c>
      <c r="H14" s="211" t="s">
        <v>43</v>
      </c>
      <c r="I14" s="269">
        <f t="shared" si="1"/>
        <v>28.843061120541719</v>
      </c>
      <c r="J14" s="269">
        <f t="shared" si="1"/>
        <v>29.655601842094196</v>
      </c>
      <c r="K14" s="269">
        <f t="shared" si="1"/>
        <v>30.492518785293239</v>
      </c>
      <c r="L14" s="269">
        <f t="shared" si="1"/>
        <v>31.354543236788249</v>
      </c>
      <c r="M14" s="269"/>
      <c r="N14" s="269"/>
      <c r="O14" s="220"/>
      <c r="P14" s="313" t="s">
        <v>445</v>
      </c>
      <c r="Q14" s="286" t="str">
        <f t="shared" si="2"/>
        <v>01588C</v>
      </c>
      <c r="R14" s="309" t="str">
        <f t="shared" si="2"/>
        <v>Cement Finisher Apprentice IV (Next 696 hours)</v>
      </c>
      <c r="S14" s="321">
        <f t="shared" si="0"/>
        <v>28.843061120541719</v>
      </c>
      <c r="T14" s="321">
        <f>IF($P14="Y",((VLOOKUP($Q14,Rates2019,4,0)+LIUNA2020)*PercIncr2020)-LIUNA2020,VLOOKUP($Q14,Rates2019,4,0))</f>
        <v>29.655601842094196</v>
      </c>
      <c r="U14" s="321">
        <f>IF($P14="Y",((VLOOKUP($Q14,Rates2019,5,0)+LIUNA2020)*PercIncr2020)-LIUNA2020,VLOOKUP($Q14,Rates2019,5,0))</f>
        <v>30.492518785293239</v>
      </c>
      <c r="V14" s="321">
        <f>IF($P14="Y",((VLOOKUP($Q14,Rates2019,6,0)+LIUNA2020)*PercIncr2020)-LIUNA2020,VLOOKUP($Q14,Rates2019,6,0))</f>
        <v>31.354543236788249</v>
      </c>
      <c r="W14" s="321"/>
      <c r="X14" s="321"/>
      <c r="Y14" s="321"/>
    </row>
    <row r="15" spans="1:26">
      <c r="A15" s="219" t="s">
        <v>52</v>
      </c>
      <c r="B15" s="162">
        <v>188</v>
      </c>
      <c r="C15" s="162">
        <v>4</v>
      </c>
      <c r="D15" s="162" t="s">
        <v>17</v>
      </c>
      <c r="E15" s="162" t="s">
        <v>18</v>
      </c>
      <c r="F15" s="219" t="s">
        <v>52</v>
      </c>
      <c r="G15" s="162" t="s">
        <v>53</v>
      </c>
      <c r="H15" s="211" t="s">
        <v>54</v>
      </c>
      <c r="I15" s="269">
        <f t="shared" si="1"/>
        <v>18.821258730845649</v>
      </c>
      <c r="J15" s="269">
        <f t="shared" si="1"/>
        <v>21.61016201364178</v>
      </c>
      <c r="K15" s="269">
        <f t="shared" si="1"/>
        <v>26.171955975749917</v>
      </c>
      <c r="L15" s="269"/>
      <c r="M15" s="269"/>
      <c r="N15" s="269"/>
      <c r="O15" s="220"/>
      <c r="P15" s="313" t="s">
        <v>445</v>
      </c>
      <c r="Q15" s="286" t="str">
        <f t="shared" si="2"/>
        <v>02616C</v>
      </c>
      <c r="R15" s="309" t="str">
        <f t="shared" si="2"/>
        <v>Constr Maint Labor WU Shop-C</v>
      </c>
      <c r="S15" s="321">
        <f t="shared" si="0"/>
        <v>18.821258730845649</v>
      </c>
      <c r="T15" s="321">
        <f>IF($P15="Y",((VLOOKUP($Q15,Rates2019,4,0)+LIUNA2020)*PercIncr2020)-LIUNA2020,VLOOKUP($Q15,Rates2019,4,0))</f>
        <v>21.61016201364178</v>
      </c>
      <c r="U15" s="321">
        <f>IF($P15="Y",((VLOOKUP($Q15,Rates2019,5,0)+LIUNA2020)*PercIncr2020)-LIUNA2020,VLOOKUP($Q15,Rates2019,5,0))</f>
        <v>26.171955975749917</v>
      </c>
      <c r="V15" s="321"/>
      <c r="W15" s="321"/>
      <c r="X15" s="321"/>
      <c r="Y15" s="321"/>
    </row>
    <row r="16" spans="1:26">
      <c r="A16" s="219" t="s">
        <v>332</v>
      </c>
      <c r="B16" s="162">
        <v>273</v>
      </c>
      <c r="C16" s="162">
        <v>6</v>
      </c>
      <c r="D16" s="162" t="s">
        <v>17</v>
      </c>
      <c r="E16" s="162" t="s">
        <v>18</v>
      </c>
      <c r="F16" s="219"/>
      <c r="G16" s="162" t="s">
        <v>377</v>
      </c>
      <c r="H16" s="211" t="s">
        <v>378</v>
      </c>
      <c r="I16" s="269">
        <f t="shared" si="1"/>
        <v>30.303010291499998</v>
      </c>
      <c r="J16" s="269"/>
      <c r="K16" s="269"/>
      <c r="L16" s="269"/>
      <c r="M16" s="269"/>
      <c r="N16" s="269"/>
      <c r="O16" s="220"/>
      <c r="P16" s="312" t="s">
        <v>445</v>
      </c>
      <c r="Q16" s="286" t="str">
        <f t="shared" si="2"/>
        <v>52921C</v>
      </c>
      <c r="R16" s="309" t="str">
        <f t="shared" si="2"/>
        <v>Construction Crew Leader</v>
      </c>
      <c r="S16" s="321">
        <f t="shared" si="0"/>
        <v>30.303010291499998</v>
      </c>
      <c r="T16" s="322"/>
      <c r="U16" s="322"/>
      <c r="V16" s="321"/>
      <c r="W16" s="321"/>
      <c r="X16" s="321"/>
      <c r="Y16" s="321"/>
      <c r="Z16" s="219"/>
    </row>
    <row r="17" spans="1:25">
      <c r="A17" s="219" t="s">
        <v>52</v>
      </c>
      <c r="B17" s="162">
        <v>188</v>
      </c>
      <c r="C17" s="162">
        <v>4</v>
      </c>
      <c r="D17" s="162" t="s">
        <v>17</v>
      </c>
      <c r="E17" s="162" t="s">
        <v>18</v>
      </c>
      <c r="F17" s="219" t="s">
        <v>52</v>
      </c>
      <c r="G17" s="162" t="s">
        <v>56</v>
      </c>
      <c r="H17" s="211" t="s">
        <v>57</v>
      </c>
      <c r="I17" s="269">
        <f t="shared" si="1"/>
        <v>18.821258730845649</v>
      </c>
      <c r="J17" s="269">
        <f t="shared" si="1"/>
        <v>21.61016201364178</v>
      </c>
      <c r="K17" s="269">
        <f t="shared" si="1"/>
        <v>26.171955975749917</v>
      </c>
      <c r="L17" s="269"/>
      <c r="M17" s="269"/>
      <c r="N17" s="269"/>
      <c r="O17" s="220"/>
      <c r="P17" s="313" t="s">
        <v>445</v>
      </c>
      <c r="Q17" s="286" t="str">
        <f t="shared" si="2"/>
        <v>02610C</v>
      </c>
      <c r="R17" s="309" t="str">
        <f t="shared" si="2"/>
        <v>Construction Maint Laborer</v>
      </c>
      <c r="S17" s="321">
        <f t="shared" si="0"/>
        <v>18.821258730845649</v>
      </c>
      <c r="T17" s="321">
        <f>IF($P17="Y",((VLOOKUP($Q17,Rates2019,4,0)+LIUNA2020)*PercIncr2020)-LIUNA2020,VLOOKUP($Q17,Rates2019,4,0))</f>
        <v>21.61016201364178</v>
      </c>
      <c r="U17" s="321">
        <f>IF($P17="Y",((VLOOKUP($Q17,Rates2019,5,0)+LIUNA2020)*PercIncr2020)-LIUNA2020,VLOOKUP($Q17,Rates2019,5,0))</f>
        <v>26.171955975749917</v>
      </c>
      <c r="V17" s="322"/>
      <c r="W17" s="321"/>
      <c r="X17" s="321"/>
      <c r="Y17" s="321"/>
    </row>
    <row r="18" spans="1:25">
      <c r="A18" s="219" t="s">
        <v>47</v>
      </c>
      <c r="B18" s="162">
        <v>153</v>
      </c>
      <c r="C18" s="162">
        <v>3</v>
      </c>
      <c r="D18" s="162" t="s">
        <v>17</v>
      </c>
      <c r="E18" s="162" t="s">
        <v>18</v>
      </c>
      <c r="F18" s="219" t="s">
        <v>47</v>
      </c>
      <c r="G18" s="162" t="s">
        <v>58</v>
      </c>
      <c r="H18" s="211" t="s">
        <v>59</v>
      </c>
      <c r="I18" s="269">
        <f t="shared" si="1"/>
        <v>15.605168330675491</v>
      </c>
      <c r="J18" s="269">
        <f t="shared" si="1"/>
        <v>18.170856723312237</v>
      </c>
      <c r="K18" s="269">
        <f t="shared" si="1"/>
        <v>19.221506120096983</v>
      </c>
      <c r="L18" s="269">
        <f t="shared" si="1"/>
        <v>24.178416094671157</v>
      </c>
      <c r="M18" s="269"/>
      <c r="N18" s="269"/>
      <c r="O18" s="220"/>
      <c r="P18" s="313" t="s">
        <v>445</v>
      </c>
      <c r="Q18" s="286" t="str">
        <f t="shared" si="2"/>
        <v>05850C</v>
      </c>
      <c r="R18" s="309" t="str">
        <f t="shared" si="2"/>
        <v>Custodian Property Services</v>
      </c>
      <c r="S18" s="321">
        <f t="shared" si="0"/>
        <v>15.605168330675491</v>
      </c>
      <c r="T18" s="321">
        <f>IF($P18="Y",((VLOOKUP($Q18,Rates2019,4,0)+LIUNA2020)*PercIncr2020)-LIUNA2020,VLOOKUP($Q18,Rates2019,4,0))</f>
        <v>18.170856723312237</v>
      </c>
      <c r="U18" s="321">
        <f>IF($P18="Y",((VLOOKUP($Q18,Rates2019,5,0)+LIUNA2020)*PercIncr2020)-LIUNA2020,VLOOKUP($Q18,Rates2019,5,0))</f>
        <v>19.221506120096983</v>
      </c>
      <c r="V18" s="321">
        <f>IF($P18="Y",((VLOOKUP($Q18,Rates2019,6,0)+LIUNA2020)*PercIncr2020)-LIUNA2020,VLOOKUP($Q18,Rates2019,6,0))</f>
        <v>24.178416094671157</v>
      </c>
      <c r="W18" s="321"/>
      <c r="X18" s="321"/>
      <c r="Y18" s="321"/>
    </row>
    <row r="19" spans="1:25">
      <c r="A19" s="219" t="s">
        <v>47</v>
      </c>
      <c r="B19" s="162">
        <v>160</v>
      </c>
      <c r="C19" s="162">
        <v>3</v>
      </c>
      <c r="D19" s="162" t="s">
        <v>17</v>
      </c>
      <c r="E19" s="162" t="s">
        <v>18</v>
      </c>
      <c r="F19" s="219" t="s">
        <v>47</v>
      </c>
      <c r="G19" s="162" t="s">
        <v>60</v>
      </c>
      <c r="H19" s="211" t="s">
        <v>61</v>
      </c>
      <c r="I19" s="269">
        <f t="shared" si="1"/>
        <v>15.605168330675491</v>
      </c>
      <c r="J19" s="269">
        <f t="shared" si="1"/>
        <v>18.170856723312237</v>
      </c>
      <c r="K19" s="269">
        <f t="shared" si="1"/>
        <v>19.221506120096983</v>
      </c>
      <c r="L19" s="269">
        <f t="shared" si="1"/>
        <v>24.178416094671157</v>
      </c>
      <c r="M19" s="269"/>
      <c r="N19" s="269"/>
      <c r="O19" s="220"/>
      <c r="P19" s="313" t="s">
        <v>445</v>
      </c>
      <c r="Q19" s="286" t="str">
        <f t="shared" si="2"/>
        <v>02960C</v>
      </c>
      <c r="R19" s="309" t="str">
        <f t="shared" si="2"/>
        <v>Delivery Worker</v>
      </c>
      <c r="S19" s="321">
        <f t="shared" si="0"/>
        <v>15.605168330675491</v>
      </c>
      <c r="T19" s="321">
        <f>IF($P19="Y",((VLOOKUP($Q19,Rates2019,4,0)+LIUNA2020)*PercIncr2020)-LIUNA2020,VLOOKUP($Q19,Rates2019,4,0))</f>
        <v>18.170856723312237</v>
      </c>
      <c r="U19" s="321">
        <f>IF($P19="Y",((VLOOKUP($Q19,Rates2019,5,0)+LIUNA2020)*PercIncr2020)-LIUNA2020,VLOOKUP($Q19,Rates2019,5,0))</f>
        <v>19.221506120096983</v>
      </c>
      <c r="V19" s="321">
        <f>IF($P19="Y",((VLOOKUP($Q19,Rates2019,6,0)+LIUNA2020)*PercIncr2020)-LIUNA2020,VLOOKUP($Q19,Rates2019,6,0))</f>
        <v>24.178416094671157</v>
      </c>
      <c r="W19" s="321"/>
      <c r="X19" s="321"/>
      <c r="Y19" s="321"/>
    </row>
    <row r="20" spans="1:25">
      <c r="A20" s="219" t="s">
        <v>62</v>
      </c>
      <c r="B20" s="162">
        <v>190</v>
      </c>
      <c r="C20" s="162">
        <v>4</v>
      </c>
      <c r="D20" s="162" t="s">
        <v>17</v>
      </c>
      <c r="E20" s="162" t="s">
        <v>18</v>
      </c>
      <c r="F20" s="219" t="s">
        <v>62</v>
      </c>
      <c r="G20" s="162" t="s">
        <v>63</v>
      </c>
      <c r="H20" s="211" t="s">
        <v>64</v>
      </c>
      <c r="I20" s="269">
        <f t="shared" si="1"/>
        <v>16.097780502061749</v>
      </c>
      <c r="J20" s="269">
        <f t="shared" si="1"/>
        <v>18.748136611655507</v>
      </c>
      <c r="K20" s="269">
        <f t="shared" si="1"/>
        <v>21.575525220341188</v>
      </c>
      <c r="L20" s="269">
        <f t="shared" si="1"/>
        <v>26.064197063259169</v>
      </c>
      <c r="M20" s="269"/>
      <c r="N20" s="269"/>
      <c r="O20" s="220"/>
      <c r="P20" s="313" t="s">
        <v>445</v>
      </c>
      <c r="Q20" s="286" t="str">
        <f t="shared" si="2"/>
        <v>04170C</v>
      </c>
      <c r="R20" s="309" t="str">
        <f t="shared" si="2"/>
        <v>Equipment Service Worker</v>
      </c>
      <c r="S20" s="321">
        <f t="shared" si="0"/>
        <v>16.097780502061749</v>
      </c>
      <c r="T20" s="321">
        <f>IF($P20="Y",((VLOOKUP($Q20,Rates2019,4,0)+LIUNA2020)*PercIncr2020)-LIUNA2020,VLOOKUP($Q20,Rates2019,4,0))</f>
        <v>18.748136611655507</v>
      </c>
      <c r="U20" s="321">
        <f>IF($P20="Y",((VLOOKUP($Q20,Rates2019,5,0)+LIUNA2020)*PercIncr2020)-LIUNA2020,VLOOKUP($Q20,Rates2019,5,0))</f>
        <v>21.575525220341188</v>
      </c>
      <c r="V20" s="321">
        <f>IF($P20="Y",((VLOOKUP($Q20,Rates2019,6,0)+LIUNA2020)*PercIncr2020)-LIUNA2020,VLOOKUP($Q20,Rates2019,6,0))</f>
        <v>26.064197063259169</v>
      </c>
      <c r="W20" s="321"/>
      <c r="X20" s="321"/>
      <c r="Y20" s="321"/>
    </row>
    <row r="21" spans="1:25">
      <c r="A21" s="219" t="s">
        <v>65</v>
      </c>
      <c r="B21" s="162">
        <v>263</v>
      </c>
      <c r="C21" s="162">
        <v>5</v>
      </c>
      <c r="D21" s="162" t="s">
        <v>17</v>
      </c>
      <c r="E21" s="162" t="s">
        <v>18</v>
      </c>
      <c r="F21" s="219" t="s">
        <v>65</v>
      </c>
      <c r="G21" s="162" t="s">
        <v>66</v>
      </c>
      <c r="H21" s="211" t="s">
        <v>67</v>
      </c>
      <c r="I21" s="269">
        <f t="shared" si="1"/>
        <v>25.135417865124673</v>
      </c>
      <c r="J21" s="269">
        <f t="shared" si="1"/>
        <v>25.98209503469479</v>
      </c>
      <c r="K21" s="269">
        <f t="shared" si="1"/>
        <v>26.858277620780239</v>
      </c>
      <c r="L21" s="269">
        <f t="shared" si="1"/>
        <v>27.938432434080305</v>
      </c>
      <c r="M21" s="269"/>
      <c r="N21" s="269"/>
      <c r="O21" s="220"/>
      <c r="P21" s="313" t="s">
        <v>445</v>
      </c>
      <c r="Q21" s="286" t="str">
        <f t="shared" si="2"/>
        <v>05958C</v>
      </c>
      <c r="R21" s="309" t="str">
        <f t="shared" si="2"/>
        <v>Lead Custodian Property Services</v>
      </c>
      <c r="S21" s="321">
        <f t="shared" si="0"/>
        <v>25.135417865124673</v>
      </c>
      <c r="T21" s="321">
        <f>IF($P21="Y",((VLOOKUP($Q21,Rates2019,4,0)+LIUNA2020)*PercIncr2020)-LIUNA2020,VLOOKUP($Q21,Rates2019,4,0))</f>
        <v>25.98209503469479</v>
      </c>
      <c r="U21" s="321">
        <f>IF($P21="Y",((VLOOKUP($Q21,Rates2019,5,0)+LIUNA2020)*PercIncr2020)-LIUNA2020,VLOOKUP($Q21,Rates2019,5,0))</f>
        <v>26.858277620780239</v>
      </c>
      <c r="V21" s="321">
        <f>IF($P21="Y",((VLOOKUP($Q21,Rates2019,6,0)+LIUNA2020)*PercIncr2020)-LIUNA2020,VLOOKUP($Q21,Rates2019,6,0))</f>
        <v>27.938432434080305</v>
      </c>
      <c r="W21" s="321"/>
      <c r="X21" s="321"/>
      <c r="Y21" s="321"/>
    </row>
    <row r="22" spans="1:25">
      <c r="A22" s="219">
        <v>11</v>
      </c>
      <c r="B22" s="162">
        <v>205</v>
      </c>
      <c r="C22" s="162">
        <v>4</v>
      </c>
      <c r="D22" s="162" t="s">
        <v>17</v>
      </c>
      <c r="E22" s="162" t="s">
        <v>18</v>
      </c>
      <c r="F22" s="219">
        <v>11</v>
      </c>
      <c r="G22" s="162" t="s">
        <v>68</v>
      </c>
      <c r="H22" s="211" t="s">
        <v>325</v>
      </c>
      <c r="I22" s="269">
        <f t="shared" si="1"/>
        <v>28.542869369391294</v>
      </c>
      <c r="J22" s="269"/>
      <c r="K22" s="269"/>
      <c r="L22" s="269"/>
      <c r="M22" s="269"/>
      <c r="N22" s="269"/>
      <c r="O22" s="220"/>
      <c r="P22" s="312" t="s">
        <v>445</v>
      </c>
      <c r="Q22" s="286" t="str">
        <f t="shared" si="2"/>
        <v>06030C</v>
      </c>
      <c r="R22" s="309" t="str">
        <f t="shared" si="2"/>
        <v>Lead Pipe Layer I (Paving Const.)</v>
      </c>
      <c r="S22" s="321">
        <f t="shared" si="0"/>
        <v>28.542869369391294</v>
      </c>
      <c r="T22" s="321"/>
      <c r="U22" s="321"/>
      <c r="V22" s="321"/>
      <c r="W22" s="321"/>
      <c r="X22" s="321"/>
      <c r="Y22" s="321"/>
    </row>
    <row r="23" spans="1:25">
      <c r="A23" s="219" t="s">
        <v>319</v>
      </c>
      <c r="B23" s="162">
        <v>205</v>
      </c>
      <c r="C23" s="162">
        <v>4</v>
      </c>
      <c r="D23" s="162" t="s">
        <v>17</v>
      </c>
      <c r="E23" s="162" t="s">
        <v>18</v>
      </c>
      <c r="F23" s="219" t="s">
        <v>19</v>
      </c>
      <c r="G23" s="162" t="s">
        <v>71</v>
      </c>
      <c r="H23" s="223" t="s">
        <v>379</v>
      </c>
      <c r="I23" s="269">
        <f t="shared" si="1"/>
        <v>25.924638155836281</v>
      </c>
      <c r="J23" s="269">
        <f t="shared" si="1"/>
        <v>26.73717887738875</v>
      </c>
      <c r="K23" s="269">
        <f t="shared" si="1"/>
        <v>27.574095820587793</v>
      </c>
      <c r="L23" s="269">
        <f t="shared" si="1"/>
        <v>28.436120272082814</v>
      </c>
      <c r="M23" s="269"/>
      <c r="N23" s="269"/>
      <c r="O23" s="220"/>
      <c r="P23" s="312" t="s">
        <v>445</v>
      </c>
      <c r="Q23" s="286" t="str">
        <f t="shared" si="2"/>
        <v>06035C</v>
      </c>
      <c r="R23" s="309" t="str">
        <f t="shared" si="2"/>
        <v>Lead Pipe Layer I (Paving Const.) Apprentice I (1st 522 hours)</v>
      </c>
      <c r="S23" s="321">
        <f t="shared" si="0"/>
        <v>25.924638155836281</v>
      </c>
      <c r="T23" s="321">
        <f>IF($P23="Y",((VLOOKUP($Q23,Rates2019,4,0)+LIUNA2020)*PercIncr2020)-LIUNA2020,VLOOKUP($Q23,Rates2019,4,0))</f>
        <v>26.73717887738875</v>
      </c>
      <c r="U23" s="321">
        <f>IF($P23="Y",((VLOOKUP($Q23,Rates2019,5,0)+LIUNA2020)*PercIncr2020)-LIUNA2020,VLOOKUP($Q23,Rates2019,5,0))</f>
        <v>27.574095820587793</v>
      </c>
      <c r="V23" s="321">
        <f>IF($P23="Y",((VLOOKUP($Q23,Rates2019,6,0)+LIUNA2020)*PercIncr2020)-LIUNA2020,VLOOKUP($Q23,Rates2019,6,0))</f>
        <v>28.436120272082814</v>
      </c>
      <c r="W23" s="321"/>
      <c r="X23" s="321"/>
      <c r="Y23" s="321"/>
    </row>
    <row r="24" spans="1:25">
      <c r="A24" s="219" t="s">
        <v>321</v>
      </c>
      <c r="B24" s="162">
        <v>205</v>
      </c>
      <c r="C24" s="162">
        <v>4</v>
      </c>
      <c r="D24" s="162" t="s">
        <v>17</v>
      </c>
      <c r="E24" s="162" t="s">
        <v>18</v>
      </c>
      <c r="F24" s="219" t="s">
        <v>19</v>
      </c>
      <c r="G24" s="162" t="s">
        <v>74</v>
      </c>
      <c r="H24" s="223" t="s">
        <v>326</v>
      </c>
      <c r="I24" s="269">
        <f t="shared" si="1"/>
        <v>26.359296895260496</v>
      </c>
      <c r="J24" s="269">
        <f t="shared" si="1"/>
        <v>27.171837616812969</v>
      </c>
      <c r="K24" s="269">
        <f t="shared" si="1"/>
        <v>28.008754560012008</v>
      </c>
      <c r="L24" s="269">
        <f t="shared" si="1"/>
        <v>28.870779011507022</v>
      </c>
      <c r="M24" s="269"/>
      <c r="N24" s="269"/>
      <c r="O24" s="220"/>
      <c r="P24" s="312" t="s">
        <v>445</v>
      </c>
      <c r="Q24" s="286" t="str">
        <f t="shared" si="2"/>
        <v>06037C</v>
      </c>
      <c r="R24" s="309" t="str">
        <f t="shared" si="2"/>
        <v>Lead Pipe Layer I (Paving Const.) Apprentice II (2nd 522 hours)</v>
      </c>
      <c r="S24" s="321">
        <f t="shared" si="0"/>
        <v>26.359296895260496</v>
      </c>
      <c r="T24" s="321">
        <f>IF($P24="Y",((VLOOKUP($Q24,Rates2019,4,0)+LIUNA2020)*PercIncr2020)-LIUNA2020,VLOOKUP($Q24,Rates2019,4,0))</f>
        <v>27.171837616812969</v>
      </c>
      <c r="U24" s="321">
        <f>IF($P24="Y",((VLOOKUP($Q24,Rates2019,5,0)+LIUNA2020)*PercIncr2020)-LIUNA2020,VLOOKUP($Q24,Rates2019,5,0))</f>
        <v>28.008754560012008</v>
      </c>
      <c r="V24" s="321">
        <f>IF($P24="Y",((VLOOKUP($Q24,Rates2019,6,0)+LIUNA2020)*PercIncr2020)-LIUNA2020,VLOOKUP($Q24,Rates2019,6,0))</f>
        <v>28.870779011507022</v>
      </c>
      <c r="W24" s="321"/>
      <c r="X24" s="321"/>
      <c r="Y24" s="321"/>
    </row>
    <row r="25" spans="1:25">
      <c r="A25" s="219" t="s">
        <v>76</v>
      </c>
      <c r="B25" s="162">
        <v>205</v>
      </c>
      <c r="C25" s="162">
        <v>4</v>
      </c>
      <c r="D25" s="162" t="s">
        <v>17</v>
      </c>
      <c r="E25" s="162" t="s">
        <v>18</v>
      </c>
      <c r="F25" s="219" t="s">
        <v>76</v>
      </c>
      <c r="G25" s="162" t="s">
        <v>77</v>
      </c>
      <c r="H25" s="211" t="s">
        <v>327</v>
      </c>
      <c r="I25" s="269">
        <f t="shared" si="1"/>
        <v>28.835900783595868</v>
      </c>
      <c r="J25" s="269"/>
      <c r="K25" s="269"/>
      <c r="L25" s="269"/>
      <c r="M25" s="269"/>
      <c r="N25" s="269"/>
      <c r="O25" s="220"/>
      <c r="P25" s="312" t="s">
        <v>445</v>
      </c>
      <c r="Q25" s="286" t="str">
        <f t="shared" si="2"/>
        <v>06050C</v>
      </c>
      <c r="R25" s="309" t="str">
        <f t="shared" si="2"/>
        <v>Lead Pipe Layer II (Water Const.)</v>
      </c>
      <c r="S25" s="321">
        <f t="shared" si="0"/>
        <v>28.835900783595868</v>
      </c>
      <c r="T25" s="323"/>
      <c r="U25" s="321"/>
      <c r="V25" s="322"/>
      <c r="W25" s="321"/>
      <c r="X25" s="321"/>
      <c r="Y25" s="321"/>
    </row>
    <row r="26" spans="1:25">
      <c r="A26" s="219" t="s">
        <v>319</v>
      </c>
      <c r="B26" s="162">
        <v>205</v>
      </c>
      <c r="C26" s="162">
        <v>4</v>
      </c>
      <c r="D26" s="162" t="s">
        <v>17</v>
      </c>
      <c r="E26" s="162" t="s">
        <v>18</v>
      </c>
      <c r="F26" s="219" t="s">
        <v>19</v>
      </c>
      <c r="G26" s="162" t="s">
        <v>80</v>
      </c>
      <c r="H26" s="223" t="s">
        <v>328</v>
      </c>
      <c r="I26" s="269">
        <f t="shared" si="1"/>
        <v>25.924638155836281</v>
      </c>
      <c r="J26" s="269">
        <f t="shared" si="1"/>
        <v>26.73717887738875</v>
      </c>
      <c r="K26" s="269">
        <f t="shared" si="1"/>
        <v>27.574095820587793</v>
      </c>
      <c r="L26" s="269">
        <f t="shared" si="1"/>
        <v>28.436120272082814</v>
      </c>
      <c r="M26" s="269"/>
      <c r="N26" s="269"/>
      <c r="O26" s="220"/>
      <c r="P26" s="312" t="s">
        <v>445</v>
      </c>
      <c r="Q26" s="286" t="str">
        <f t="shared" si="2"/>
        <v>06056C</v>
      </c>
      <c r="R26" s="309" t="str">
        <f t="shared" si="2"/>
        <v>Lead Pipe Layer II (Water Const.) Apprentice I (1st 522 hours)</v>
      </c>
      <c r="S26" s="321">
        <f t="shared" si="0"/>
        <v>25.924638155836281</v>
      </c>
      <c r="T26" s="321">
        <f>IF($P26="Y",((VLOOKUP($Q26,Rates2019,4,0)+LIUNA2020)*PercIncr2020)-LIUNA2020,VLOOKUP($Q26,Rates2019,4,0))</f>
        <v>26.73717887738875</v>
      </c>
      <c r="U26" s="321">
        <f>IF($P26="Y",((VLOOKUP($Q26,Rates2019,5,0)+LIUNA2020)*PercIncr2020)-LIUNA2020,VLOOKUP($Q26,Rates2019,5,0))</f>
        <v>27.574095820587793</v>
      </c>
      <c r="V26" s="321">
        <f>IF($P26="Y",((VLOOKUP($Q26,Rates2019,6,0)+LIUNA2020)*PercIncr2020)-LIUNA2020,VLOOKUP($Q26,Rates2019,6,0))</f>
        <v>28.436120272082814</v>
      </c>
      <c r="W26" s="321"/>
      <c r="X26" s="321"/>
      <c r="Y26" s="321"/>
    </row>
    <row r="27" spans="1:25">
      <c r="A27" s="219" t="s">
        <v>321</v>
      </c>
      <c r="B27" s="162">
        <v>205</v>
      </c>
      <c r="C27" s="162">
        <v>4</v>
      </c>
      <c r="D27" s="162" t="s">
        <v>17</v>
      </c>
      <c r="E27" s="162" t="s">
        <v>18</v>
      </c>
      <c r="F27" s="219" t="s">
        <v>19</v>
      </c>
      <c r="G27" s="162" t="s">
        <v>83</v>
      </c>
      <c r="H27" s="223" t="s">
        <v>329</v>
      </c>
      <c r="I27" s="269">
        <f t="shared" si="1"/>
        <v>26.359296895260496</v>
      </c>
      <c r="J27" s="269">
        <f t="shared" si="1"/>
        <v>27.171837616812969</v>
      </c>
      <c r="K27" s="269">
        <f t="shared" si="1"/>
        <v>28.008754560012008</v>
      </c>
      <c r="L27" s="269">
        <f t="shared" si="1"/>
        <v>28.870779011507022</v>
      </c>
      <c r="M27" s="269"/>
      <c r="N27" s="269"/>
      <c r="O27" s="220"/>
      <c r="P27" s="312" t="s">
        <v>445</v>
      </c>
      <c r="Q27" s="286" t="str">
        <f t="shared" si="2"/>
        <v>06057C</v>
      </c>
      <c r="R27" s="309" t="str">
        <f t="shared" si="2"/>
        <v>Lead Pipe Layer II (Water Const.) Apprentice II (2nd 522 hours)</v>
      </c>
      <c r="S27" s="321">
        <f t="shared" si="0"/>
        <v>26.359296895260496</v>
      </c>
      <c r="T27" s="321">
        <f>IF($P27="Y",((VLOOKUP($Q27,Rates2019,4,0)+LIUNA2020)*PercIncr2020)-LIUNA2020,VLOOKUP($Q27,Rates2019,4,0))</f>
        <v>27.171837616812969</v>
      </c>
      <c r="U27" s="321">
        <f>IF($P27="Y",((VLOOKUP($Q27,Rates2019,5,0)+LIUNA2020)*PercIncr2020)-LIUNA2020,VLOOKUP($Q27,Rates2019,5,0))</f>
        <v>28.008754560012008</v>
      </c>
      <c r="V27" s="321">
        <f>IF($P27="Y",((VLOOKUP($Q27,Rates2019,6,0)+LIUNA2020)*PercIncr2020)-LIUNA2020,VLOOKUP($Q27,Rates2019,6,0))</f>
        <v>28.870779011507022</v>
      </c>
      <c r="W27" s="321"/>
      <c r="X27" s="321"/>
      <c r="Y27" s="321"/>
    </row>
    <row r="28" spans="1:25">
      <c r="A28" s="219" t="s">
        <v>330</v>
      </c>
      <c r="B28" s="162">
        <v>205</v>
      </c>
      <c r="C28" s="162">
        <v>4</v>
      </c>
      <c r="D28" s="162" t="s">
        <v>17</v>
      </c>
      <c r="E28" s="162" t="s">
        <v>18</v>
      </c>
      <c r="F28" s="219" t="s">
        <v>19</v>
      </c>
      <c r="G28" s="162" t="s">
        <v>86</v>
      </c>
      <c r="H28" s="223" t="s">
        <v>331</v>
      </c>
      <c r="I28" s="269">
        <f t="shared" si="1"/>
        <v>26.607673317788613</v>
      </c>
      <c r="J28" s="269">
        <f t="shared" si="1"/>
        <v>27.420214039341083</v>
      </c>
      <c r="K28" s="269">
        <f t="shared" si="1"/>
        <v>28.257130982540126</v>
      </c>
      <c r="L28" s="269">
        <f t="shared" si="1"/>
        <v>29.119155434035147</v>
      </c>
      <c r="M28" s="269"/>
      <c r="N28" s="269"/>
      <c r="O28" s="220"/>
      <c r="P28" s="312" t="s">
        <v>445</v>
      </c>
      <c r="Q28" s="286" t="str">
        <f t="shared" si="2"/>
        <v>06058C</v>
      </c>
      <c r="R28" s="309" t="str">
        <f t="shared" si="2"/>
        <v>Lead Pipe Layer II (Water Const.) Apprentice III (3rd 522 hours)</v>
      </c>
      <c r="S28" s="321">
        <f t="shared" si="0"/>
        <v>26.607673317788613</v>
      </c>
      <c r="T28" s="321">
        <f>IF($P28="Y",((VLOOKUP($Q28,Rates2019,4,0)+LIUNA2020)*PercIncr2020)-LIUNA2020,VLOOKUP($Q28,Rates2019,4,0))</f>
        <v>27.420214039341083</v>
      </c>
      <c r="U28" s="321">
        <f>IF($P28="Y",((VLOOKUP($Q28,Rates2019,5,0)+LIUNA2020)*PercIncr2020)-LIUNA2020,VLOOKUP($Q28,Rates2019,5,0))</f>
        <v>28.257130982540126</v>
      </c>
      <c r="V28" s="321">
        <f>IF($P28="Y",((VLOOKUP($Q28,Rates2019,6,0)+LIUNA2020)*PercIncr2020)-LIUNA2020,VLOOKUP($Q28,Rates2019,6,0))</f>
        <v>29.119155434035147</v>
      </c>
      <c r="W28" s="321"/>
      <c r="X28" s="321"/>
      <c r="Y28" s="321"/>
    </row>
    <row r="29" spans="1:25">
      <c r="A29" s="219" t="s">
        <v>332</v>
      </c>
      <c r="B29" s="162">
        <v>205</v>
      </c>
      <c r="C29" s="162">
        <v>4</v>
      </c>
      <c r="D29" s="162" t="s">
        <v>17</v>
      </c>
      <c r="E29" s="162" t="s">
        <v>18</v>
      </c>
      <c r="F29" s="219" t="s">
        <v>88</v>
      </c>
      <c r="G29" s="162" t="s">
        <v>90</v>
      </c>
      <c r="H29" s="223" t="s">
        <v>333</v>
      </c>
      <c r="I29" s="269">
        <f t="shared" si="1"/>
        <v>30.303010097035003</v>
      </c>
      <c r="J29" s="269"/>
      <c r="K29" s="269"/>
      <c r="L29" s="269"/>
      <c r="M29" s="269"/>
      <c r="N29" s="269"/>
      <c r="O29" s="220"/>
      <c r="P29" s="312" t="s">
        <v>445</v>
      </c>
      <c r="Q29" s="286" t="str">
        <f t="shared" si="2"/>
        <v>06066C</v>
      </c>
      <c r="R29" s="309" t="str">
        <f t="shared" si="2"/>
        <v>Lead Pipe Layer III (Sewer Const.)</v>
      </c>
      <c r="S29" s="321">
        <f t="shared" si="0"/>
        <v>30.303010097035003</v>
      </c>
      <c r="T29" s="321"/>
      <c r="U29" s="321"/>
      <c r="V29" s="322"/>
      <c r="W29" s="321"/>
      <c r="X29" s="321"/>
      <c r="Y29" s="321"/>
    </row>
    <row r="30" spans="1:25">
      <c r="A30" s="219" t="s">
        <v>319</v>
      </c>
      <c r="B30" s="162">
        <v>205</v>
      </c>
      <c r="C30" s="162">
        <v>4</v>
      </c>
      <c r="D30" s="162" t="s">
        <v>17</v>
      </c>
      <c r="E30" s="162" t="s">
        <v>18</v>
      </c>
      <c r="F30" s="219" t="s">
        <v>19</v>
      </c>
      <c r="G30" s="162" t="s">
        <v>93</v>
      </c>
      <c r="H30" s="223" t="s">
        <v>334</v>
      </c>
      <c r="I30" s="269">
        <f t="shared" si="1"/>
        <v>25.924638155836281</v>
      </c>
      <c r="J30" s="269">
        <f t="shared" si="1"/>
        <v>26.73717887738875</v>
      </c>
      <c r="K30" s="269">
        <f t="shared" si="1"/>
        <v>27.574095820587793</v>
      </c>
      <c r="L30" s="269">
        <f t="shared" si="1"/>
        <v>28.436120272082814</v>
      </c>
      <c r="M30" s="269"/>
      <c r="N30" s="269"/>
      <c r="O30" s="220"/>
      <c r="P30" s="312" t="s">
        <v>445</v>
      </c>
      <c r="Q30" s="286" t="str">
        <f t="shared" si="2"/>
        <v>06067C</v>
      </c>
      <c r="R30" s="309" t="str">
        <f t="shared" si="2"/>
        <v>Lead Pipe Layer III (Sewer Const.) Apprentice I (1st 522 hours)</v>
      </c>
      <c r="S30" s="321">
        <f t="shared" si="0"/>
        <v>25.924638155836281</v>
      </c>
      <c r="T30" s="321">
        <f>IF($P30="Y",((VLOOKUP($Q30,Rates2019,4,0)+LIUNA2020)*PercIncr2020)-LIUNA2020,VLOOKUP($Q30,Rates2019,4,0))</f>
        <v>26.73717887738875</v>
      </c>
      <c r="U30" s="321">
        <f>IF($P30="Y",((VLOOKUP($Q30,Rates2019,5,0)+LIUNA2020)*PercIncr2020)-LIUNA2020,VLOOKUP($Q30,Rates2019,5,0))</f>
        <v>27.574095820587793</v>
      </c>
      <c r="V30" s="321">
        <f>IF($P30="Y",((VLOOKUP($Q30,Rates2019,6,0)+LIUNA2020)*PercIncr2020)-LIUNA2020,VLOOKUP($Q30,Rates2019,6,0))</f>
        <v>28.436120272082814</v>
      </c>
      <c r="W30" s="321"/>
      <c r="X30" s="321"/>
      <c r="Y30" s="321"/>
    </row>
    <row r="31" spans="1:25">
      <c r="A31" s="219" t="s">
        <v>321</v>
      </c>
      <c r="B31" s="162">
        <v>205</v>
      </c>
      <c r="C31" s="162">
        <v>4</v>
      </c>
      <c r="D31" s="162" t="s">
        <v>17</v>
      </c>
      <c r="E31" s="162" t="s">
        <v>18</v>
      </c>
      <c r="F31" s="219" t="s">
        <v>19</v>
      </c>
      <c r="G31" s="162" t="s">
        <v>96</v>
      </c>
      <c r="H31" s="223" t="s">
        <v>335</v>
      </c>
      <c r="I31" s="269">
        <f t="shared" si="1"/>
        <v>26.359296895260496</v>
      </c>
      <c r="J31" s="269">
        <f t="shared" si="1"/>
        <v>27.171837616812969</v>
      </c>
      <c r="K31" s="269">
        <f t="shared" si="1"/>
        <v>28.008754560012008</v>
      </c>
      <c r="L31" s="269">
        <f t="shared" si="1"/>
        <v>28.870779011507022</v>
      </c>
      <c r="M31" s="269"/>
      <c r="N31" s="269"/>
      <c r="O31" s="220"/>
      <c r="P31" s="312" t="s">
        <v>445</v>
      </c>
      <c r="Q31" s="286" t="str">
        <f t="shared" si="2"/>
        <v>06068C</v>
      </c>
      <c r="R31" s="309" t="str">
        <f t="shared" si="2"/>
        <v>Lead Pipe Layer III (Sewer Const.) Apprentice II (2nd 522 hours)</v>
      </c>
      <c r="S31" s="321">
        <f t="shared" si="0"/>
        <v>26.359296895260496</v>
      </c>
      <c r="T31" s="321">
        <f>IF($P31="Y",((VLOOKUP($Q31,Rates2019,4,0)+LIUNA2020)*PercIncr2020)-LIUNA2020,VLOOKUP($Q31,Rates2019,4,0))</f>
        <v>27.171837616812969</v>
      </c>
      <c r="U31" s="321">
        <f>IF($P31="Y",((VLOOKUP($Q31,Rates2019,5,0)+LIUNA2020)*PercIncr2020)-LIUNA2020,VLOOKUP($Q31,Rates2019,5,0))</f>
        <v>28.008754560012008</v>
      </c>
      <c r="V31" s="321">
        <f>IF($P31="Y",((VLOOKUP($Q31,Rates2019,6,0)+LIUNA2020)*PercIncr2020)-LIUNA2020,VLOOKUP($Q31,Rates2019,6,0))</f>
        <v>28.870779011507022</v>
      </c>
      <c r="W31" s="321"/>
      <c r="X31" s="321"/>
      <c r="Y31" s="321"/>
    </row>
    <row r="32" spans="1:25">
      <c r="A32" s="219" t="s">
        <v>330</v>
      </c>
      <c r="B32" s="162">
        <v>205</v>
      </c>
      <c r="C32" s="162">
        <v>4</v>
      </c>
      <c r="D32" s="162" t="s">
        <v>17</v>
      </c>
      <c r="E32" s="162" t="s">
        <v>18</v>
      </c>
      <c r="F32" s="219" t="s">
        <v>19</v>
      </c>
      <c r="G32" s="162" t="s">
        <v>99</v>
      </c>
      <c r="H32" s="223" t="s">
        <v>336</v>
      </c>
      <c r="I32" s="269">
        <f t="shared" si="1"/>
        <v>26.607673317788613</v>
      </c>
      <c r="J32" s="269">
        <f t="shared" si="1"/>
        <v>27.420214039341083</v>
      </c>
      <c r="K32" s="269">
        <f t="shared" si="1"/>
        <v>28.257130982540126</v>
      </c>
      <c r="L32" s="269">
        <f t="shared" si="1"/>
        <v>29.119155434035147</v>
      </c>
      <c r="M32" s="269"/>
      <c r="N32" s="269"/>
      <c r="O32" s="220"/>
      <c r="P32" s="312" t="s">
        <v>445</v>
      </c>
      <c r="Q32" s="286" t="str">
        <f t="shared" si="2"/>
        <v>06069C</v>
      </c>
      <c r="R32" s="309" t="str">
        <f t="shared" si="2"/>
        <v>Lead Pipe Layer III (Sewer Const.) Apprentice III (3rd 522 hours)</v>
      </c>
      <c r="S32" s="321">
        <f t="shared" si="0"/>
        <v>26.607673317788613</v>
      </c>
      <c r="T32" s="321">
        <f>IF($P32="Y",((VLOOKUP($Q32,Rates2019,4,0)+LIUNA2020)*PercIncr2020)-LIUNA2020,VLOOKUP($Q32,Rates2019,4,0))</f>
        <v>27.420214039341083</v>
      </c>
      <c r="U32" s="321">
        <f>IF($P32="Y",((VLOOKUP($Q32,Rates2019,5,0)+LIUNA2020)*PercIncr2020)-LIUNA2020,VLOOKUP($Q32,Rates2019,5,0))</f>
        <v>28.257130982540126</v>
      </c>
      <c r="V32" s="321">
        <f>IF($P32="Y",((VLOOKUP($Q32,Rates2019,6,0)+LIUNA2020)*PercIncr2020)-LIUNA2020,VLOOKUP($Q32,Rates2019,6,0))</f>
        <v>29.119155434035147</v>
      </c>
      <c r="W32" s="321"/>
      <c r="X32" s="321"/>
      <c r="Y32" s="321"/>
    </row>
    <row r="33" spans="1:26">
      <c r="A33" s="219" t="s">
        <v>332</v>
      </c>
      <c r="B33" s="162">
        <v>273</v>
      </c>
      <c r="C33" s="162">
        <v>6</v>
      </c>
      <c r="D33" s="162" t="s">
        <v>17</v>
      </c>
      <c r="E33" s="162" t="s">
        <v>18</v>
      </c>
      <c r="F33" s="219">
        <v>19</v>
      </c>
      <c r="G33" s="162" t="s">
        <v>101</v>
      </c>
      <c r="H33" s="211" t="s">
        <v>102</v>
      </c>
      <c r="I33" s="269">
        <f t="shared" si="1"/>
        <v>30.303010097035003</v>
      </c>
      <c r="J33" s="269"/>
      <c r="K33" s="269"/>
      <c r="L33" s="269"/>
      <c r="M33" s="269"/>
      <c r="N33" s="269"/>
      <c r="O33" s="220"/>
      <c r="P33" s="312" t="s">
        <v>445</v>
      </c>
      <c r="Q33" s="286" t="str">
        <f t="shared" si="2"/>
        <v>06462C</v>
      </c>
      <c r="R33" s="309" t="str">
        <f t="shared" si="2"/>
        <v>Maintenance Crew Ldr - Bridge</v>
      </c>
      <c r="S33" s="321">
        <f t="shared" si="0"/>
        <v>30.303010097035003</v>
      </c>
      <c r="T33" s="321"/>
      <c r="U33" s="321"/>
      <c r="V33" s="322"/>
      <c r="W33" s="321"/>
      <c r="X33" s="321"/>
      <c r="Y33" s="321"/>
    </row>
    <row r="34" spans="1:26">
      <c r="A34" s="219" t="s">
        <v>332</v>
      </c>
      <c r="B34" s="162">
        <v>273</v>
      </c>
      <c r="C34" s="162">
        <v>6</v>
      </c>
      <c r="D34" s="162" t="s">
        <v>17</v>
      </c>
      <c r="E34" s="162" t="s">
        <v>18</v>
      </c>
      <c r="F34" s="219" t="s">
        <v>88</v>
      </c>
      <c r="G34" s="162" t="s">
        <v>103</v>
      </c>
      <c r="H34" s="211" t="s">
        <v>104</v>
      </c>
      <c r="I34" s="269">
        <f t="shared" si="1"/>
        <v>30.303010097035003</v>
      </c>
      <c r="J34" s="269"/>
      <c r="K34" s="269"/>
      <c r="L34" s="269"/>
      <c r="M34" s="269"/>
      <c r="N34" s="269"/>
      <c r="O34" s="220"/>
      <c r="P34" s="312" t="s">
        <v>445</v>
      </c>
      <c r="Q34" s="286" t="str">
        <f t="shared" si="2"/>
        <v>06464C</v>
      </c>
      <c r="R34" s="309" t="str">
        <f t="shared" si="2"/>
        <v>Maintenance Crew Ldr - Sewer</v>
      </c>
      <c r="S34" s="321">
        <f t="shared" si="0"/>
        <v>30.303010097035003</v>
      </c>
      <c r="T34" s="321"/>
      <c r="U34" s="321"/>
      <c r="V34" s="322"/>
      <c r="W34" s="321"/>
      <c r="X34" s="321"/>
      <c r="Y34" s="321"/>
    </row>
    <row r="35" spans="1:26">
      <c r="A35" s="219" t="s">
        <v>332</v>
      </c>
      <c r="B35" s="162">
        <v>273</v>
      </c>
      <c r="C35" s="162">
        <v>6</v>
      </c>
      <c r="D35" s="162" t="s">
        <v>17</v>
      </c>
      <c r="E35" s="162" t="s">
        <v>18</v>
      </c>
      <c r="F35" s="219">
        <v>19</v>
      </c>
      <c r="G35" s="162" t="s">
        <v>105</v>
      </c>
      <c r="H35" s="211" t="s">
        <v>106</v>
      </c>
      <c r="I35" s="269">
        <f t="shared" si="1"/>
        <v>30.303010097035003</v>
      </c>
      <c r="J35" s="269"/>
      <c r="K35" s="269"/>
      <c r="L35" s="269"/>
      <c r="M35" s="269"/>
      <c r="N35" s="269"/>
      <c r="O35" s="220"/>
      <c r="P35" s="312" t="s">
        <v>445</v>
      </c>
      <c r="Q35" s="286" t="str">
        <f t="shared" si="2"/>
        <v>06465C</v>
      </c>
      <c r="R35" s="309" t="str">
        <f t="shared" si="2"/>
        <v>Maintenance Crew Ldr - Sol Waste</v>
      </c>
      <c r="S35" s="321">
        <f t="shared" si="0"/>
        <v>30.303010097035003</v>
      </c>
      <c r="T35" s="321"/>
      <c r="U35" s="321"/>
      <c r="V35" s="322"/>
      <c r="W35" s="321"/>
      <c r="X35" s="321"/>
      <c r="Y35" s="321"/>
    </row>
    <row r="36" spans="1:26">
      <c r="A36" s="219" t="s">
        <v>332</v>
      </c>
      <c r="B36" s="162">
        <v>273</v>
      </c>
      <c r="C36" s="162">
        <v>6</v>
      </c>
      <c r="D36" s="162" t="s">
        <v>17</v>
      </c>
      <c r="E36" s="162" t="s">
        <v>18</v>
      </c>
      <c r="F36" s="219">
        <v>19</v>
      </c>
      <c r="G36" s="162" t="s">
        <v>107</v>
      </c>
      <c r="H36" s="211" t="s">
        <v>108</v>
      </c>
      <c r="I36" s="269">
        <f t="shared" si="1"/>
        <v>30.303010097035003</v>
      </c>
      <c r="J36" s="269"/>
      <c r="K36" s="269"/>
      <c r="L36" s="269"/>
      <c r="M36" s="269"/>
      <c r="N36" s="269"/>
      <c r="O36" s="220"/>
      <c r="P36" s="312" t="s">
        <v>445</v>
      </c>
      <c r="Q36" s="286" t="str">
        <f t="shared" si="2"/>
        <v>06466C</v>
      </c>
      <c r="R36" s="309" t="str">
        <f t="shared" si="2"/>
        <v>Maintenance Crew Ldr - Streets</v>
      </c>
      <c r="S36" s="321">
        <f t="shared" si="0"/>
        <v>30.303010097035003</v>
      </c>
      <c r="T36" s="321"/>
      <c r="U36" s="321"/>
      <c r="V36" s="322"/>
      <c r="W36" s="321"/>
      <c r="X36" s="321"/>
      <c r="Y36" s="321"/>
    </row>
    <row r="37" spans="1:26">
      <c r="A37" s="219" t="s">
        <v>332</v>
      </c>
      <c r="B37" s="162">
        <v>273</v>
      </c>
      <c r="C37" s="162">
        <v>6</v>
      </c>
      <c r="D37" s="162" t="s">
        <v>17</v>
      </c>
      <c r="E37" s="162" t="s">
        <v>18</v>
      </c>
      <c r="F37" s="219">
        <v>19</v>
      </c>
      <c r="G37" s="162" t="s">
        <v>109</v>
      </c>
      <c r="H37" s="211" t="s">
        <v>110</v>
      </c>
      <c r="I37" s="269">
        <f t="shared" si="1"/>
        <v>30.303010097035003</v>
      </c>
      <c r="J37" s="269"/>
      <c r="K37" s="269"/>
      <c r="L37" s="269"/>
      <c r="M37" s="269"/>
      <c r="N37" s="269"/>
      <c r="O37" s="220"/>
      <c r="P37" s="312" t="s">
        <v>445</v>
      </c>
      <c r="Q37" s="286" t="str">
        <f t="shared" si="2"/>
        <v>06468C</v>
      </c>
      <c r="R37" s="309" t="str">
        <f t="shared" si="2"/>
        <v>Maintenance Crew Ldr - Traffic</v>
      </c>
      <c r="S37" s="321">
        <f t="shared" si="0"/>
        <v>30.303010097035003</v>
      </c>
      <c r="T37" s="321"/>
      <c r="U37" s="321"/>
      <c r="V37" s="322"/>
      <c r="W37" s="321"/>
      <c r="X37" s="321"/>
      <c r="Y37" s="321"/>
    </row>
    <row r="38" spans="1:26">
      <c r="A38" s="219" t="s">
        <v>111</v>
      </c>
      <c r="B38" s="162">
        <v>238</v>
      </c>
      <c r="C38" s="162">
        <v>5</v>
      </c>
      <c r="D38" s="162" t="s">
        <v>17</v>
      </c>
      <c r="E38" s="162" t="s">
        <v>18</v>
      </c>
      <c r="F38" s="219" t="s">
        <v>111</v>
      </c>
      <c r="G38" s="162" t="s">
        <v>112</v>
      </c>
      <c r="H38" s="211" t="s">
        <v>113</v>
      </c>
      <c r="I38" s="269">
        <f t="shared" si="1"/>
        <v>28.249837955186717</v>
      </c>
      <c r="J38" s="269"/>
      <c r="K38" s="269"/>
      <c r="L38" s="269"/>
      <c r="M38" s="269"/>
      <c r="N38" s="269"/>
      <c r="O38" s="220"/>
      <c r="P38" s="312" t="s">
        <v>445</v>
      </c>
      <c r="Q38" s="286" t="str">
        <f t="shared" si="2"/>
        <v>07440C</v>
      </c>
      <c r="R38" s="309" t="str">
        <f t="shared" si="2"/>
        <v>Parking Meter Service Worker</v>
      </c>
      <c r="S38" s="321">
        <f t="shared" si="0"/>
        <v>28.249837955186717</v>
      </c>
      <c r="T38" s="321"/>
      <c r="U38" s="321"/>
      <c r="V38" s="322"/>
      <c r="W38" s="321"/>
      <c r="X38" s="321"/>
      <c r="Y38" s="321"/>
    </row>
    <row r="39" spans="1:26">
      <c r="A39" s="219" t="s">
        <v>114</v>
      </c>
      <c r="B39" s="162">
        <v>215</v>
      </c>
      <c r="C39" s="162">
        <v>4</v>
      </c>
      <c r="D39" s="162" t="s">
        <v>17</v>
      </c>
      <c r="E39" s="162" t="s">
        <v>18</v>
      </c>
      <c r="F39" s="219" t="s">
        <v>114</v>
      </c>
      <c r="G39" s="162" t="s">
        <v>115</v>
      </c>
      <c r="H39" s="211" t="s">
        <v>116</v>
      </c>
      <c r="I39" s="269">
        <f t="shared" si="1"/>
        <v>26.400302242694579</v>
      </c>
      <c r="J39" s="269"/>
      <c r="K39" s="269"/>
      <c r="L39" s="269"/>
      <c r="M39" s="269"/>
      <c r="N39" s="269"/>
      <c r="O39" s="220"/>
      <c r="P39" s="312" t="s">
        <v>445</v>
      </c>
      <c r="Q39" s="286" t="str">
        <f t="shared" si="2"/>
        <v>07940C</v>
      </c>
      <c r="R39" s="309" t="str">
        <f t="shared" si="2"/>
        <v>Plant Service Worker</v>
      </c>
      <c r="S39" s="321">
        <f t="shared" si="0"/>
        <v>26.400302242694579</v>
      </c>
      <c r="T39" s="321"/>
      <c r="U39" s="321"/>
      <c r="V39" s="322"/>
      <c r="W39" s="321"/>
      <c r="X39" s="321"/>
      <c r="Y39" s="321"/>
    </row>
    <row r="40" spans="1:26">
      <c r="A40" s="219" t="s">
        <v>118</v>
      </c>
      <c r="B40" s="162">
        <v>335</v>
      </c>
      <c r="C40" s="162">
        <v>7</v>
      </c>
      <c r="D40" s="162" t="s">
        <v>17</v>
      </c>
      <c r="E40" s="162" t="s">
        <v>18</v>
      </c>
      <c r="F40" s="219" t="s">
        <v>117</v>
      </c>
      <c r="G40" s="162" t="s">
        <v>119</v>
      </c>
      <c r="H40" s="211" t="s">
        <v>120</v>
      </c>
      <c r="I40" s="269">
        <f t="shared" si="1"/>
        <v>26.579950657240712</v>
      </c>
      <c r="J40" s="269">
        <f t="shared" si="1"/>
        <v>27.947976708379489</v>
      </c>
      <c r="K40" s="269">
        <f t="shared" si="1"/>
        <v>29.316002759518256</v>
      </c>
      <c r="L40" s="269">
        <f t="shared" si="1"/>
        <v>30.679347797650568</v>
      </c>
      <c r="M40" s="269">
        <f t="shared" si="1"/>
        <v>32.048544102040957</v>
      </c>
      <c r="N40" s="269">
        <f t="shared" si="1"/>
        <v>33.420080912934594</v>
      </c>
      <c r="O40" s="220"/>
      <c r="P40" s="312" t="s">
        <v>445</v>
      </c>
      <c r="Q40" s="286" t="str">
        <f t="shared" si="2"/>
        <v>02621C</v>
      </c>
      <c r="R40" s="309" t="str">
        <f t="shared" si="2"/>
        <v>Pubic Works Equipment Dispatcher</v>
      </c>
      <c r="S40" s="321">
        <f t="shared" si="0"/>
        <v>26.579950657240712</v>
      </c>
      <c r="T40" s="321">
        <f>IF($P40="Y",((VLOOKUP($Q40,Rates2019,4,0)+LIUNA2020)*PercIncr2020)-LIUNA2020,VLOOKUP($Q40,Rates2019,4,0))</f>
        <v>27.947976708379489</v>
      </c>
      <c r="U40" s="321">
        <f>IF($P40="Y",((VLOOKUP($Q40,Rates2019,5,0)+LIUNA2020)*PercIncr2020)-LIUNA2020,VLOOKUP($Q40,Rates2019,5,0))</f>
        <v>29.316002759518256</v>
      </c>
      <c r="V40" s="321">
        <f>IF($P40="Y",((VLOOKUP($Q40,Rates2019,6,0)+LIUNA2020)*PercIncr2020)-LIUNA2020,VLOOKUP($Q40,Rates2019,6,0))</f>
        <v>30.679347797650568</v>
      </c>
      <c r="W40" s="321">
        <f>IF($P40="Y",((VLOOKUP($Q40,Rates2019,7,0)+LIUNA2020)*PercIncr2020)-LIUNA2020,VLOOKUP($Q40,Rates2019,7,0))</f>
        <v>32.048544102040957</v>
      </c>
      <c r="X40" s="321">
        <f>IF($P40="Y",((VLOOKUP($Q40,Rates2019,8,0)+LIUNA2020)*PercIncr2020)-LIUNA2020,VLOOKUP($Q40,Rates2019,8,0))</f>
        <v>33.420080912934594</v>
      </c>
      <c r="Y40" s="321"/>
    </row>
    <row r="41" spans="1:26">
      <c r="A41" s="219" t="s">
        <v>19</v>
      </c>
      <c r="B41" s="162">
        <v>230</v>
      </c>
      <c r="C41" s="162">
        <v>5</v>
      </c>
      <c r="D41" s="162" t="s">
        <v>17</v>
      </c>
      <c r="E41" s="162" t="s">
        <v>18</v>
      </c>
      <c r="F41" s="219" t="s">
        <v>19</v>
      </c>
      <c r="G41" s="162" t="s">
        <v>121</v>
      </c>
      <c r="H41" s="223" t="s">
        <v>122</v>
      </c>
      <c r="I41" s="269">
        <f t="shared" si="1"/>
        <v>25.738355838940187</v>
      </c>
      <c r="J41" s="269">
        <f t="shared" si="1"/>
        <v>26.55089656049266</v>
      </c>
      <c r="K41" s="269">
        <f t="shared" si="1"/>
        <v>27.387813503691699</v>
      </c>
      <c r="L41" s="269">
        <f t="shared" si="1"/>
        <v>28.249837955186717</v>
      </c>
      <c r="M41" s="269"/>
      <c r="N41" s="269"/>
      <c r="O41" s="220"/>
      <c r="P41" s="312" t="s">
        <v>445</v>
      </c>
      <c r="Q41" s="286" t="str">
        <f t="shared" si="2"/>
        <v>08568C</v>
      </c>
      <c r="R41" s="309" t="str">
        <f t="shared" si="2"/>
        <v xml:space="preserve">Public Works Service Worker I </v>
      </c>
      <c r="S41" s="321">
        <f t="shared" si="0"/>
        <v>25.738355838940187</v>
      </c>
      <c r="T41" s="321">
        <f>IF($P41="Y",((VLOOKUP($Q41,Rates2019,4,0)+LIUNA2020)*PercIncr2020)-LIUNA2020,VLOOKUP($Q41,Rates2019,4,0))</f>
        <v>26.55089656049266</v>
      </c>
      <c r="U41" s="321">
        <f>IF($P41="Y",((VLOOKUP($Q41,Rates2019,5,0)+LIUNA2020)*PercIncr2020)-LIUNA2020,VLOOKUP($Q41,Rates2019,5,0))</f>
        <v>27.387813503691699</v>
      </c>
      <c r="V41" s="321">
        <f>IF($P41="Y",((VLOOKUP($Q41,Rates2019,6,0)+LIUNA2020)*PercIncr2020)-LIUNA2020,VLOOKUP($Q41,Rates2019,6,0))</f>
        <v>28.249837955186717</v>
      </c>
      <c r="W41" s="321"/>
      <c r="X41" s="321"/>
      <c r="Y41" s="321"/>
    </row>
    <row r="42" spans="1:26">
      <c r="A42" s="219" t="s">
        <v>124</v>
      </c>
      <c r="B42" s="162">
        <v>230</v>
      </c>
      <c r="C42" s="162">
        <v>5</v>
      </c>
      <c r="D42" s="162" t="s">
        <v>17</v>
      </c>
      <c r="E42" s="162" t="s">
        <v>18</v>
      </c>
      <c r="F42" s="219" t="s">
        <v>124</v>
      </c>
      <c r="G42" s="162" t="s">
        <v>126</v>
      </c>
      <c r="H42" s="223" t="s">
        <v>127</v>
      </c>
      <c r="I42" s="221" t="str">
        <f>"6 months = "&amp;TEXT(S42,"$0.000")</f>
        <v>6 months = $16.801</v>
      </c>
      <c r="J42" s="228"/>
      <c r="K42" s="221" t="str">
        <f>"After 6 months AND holds a CDL = "&amp;TEXT(T42,"$0.000")</f>
        <v>After 6 months AND holds a CDL = $17.999</v>
      </c>
      <c r="L42" s="208"/>
      <c r="O42" s="220"/>
      <c r="P42" s="312" t="s">
        <v>445</v>
      </c>
      <c r="Q42" s="286" t="str">
        <f t="shared" si="2"/>
        <v>08564C</v>
      </c>
      <c r="R42" s="309" t="str">
        <f t="shared" si="2"/>
        <v xml:space="preserve">Public Works Service Worker I - Trainee </v>
      </c>
      <c r="S42" s="324">
        <f>IF($P42="Y",((VLOOKUP($Q42,Rates2019,3,0))*PercIncr2020),VLOOKUP($Q42,Rates2019,3,0))</f>
        <v>16.800642985500005</v>
      </c>
      <c r="T42" s="324">
        <f>IF($P42="Y",((VLOOKUP($Q42,Rates2019,4,0))*PercIncr2020),VLOOKUP($Q42,Rates2019,4,0))</f>
        <v>17.9990427595</v>
      </c>
      <c r="U42" s="321"/>
      <c r="V42" s="322"/>
      <c r="W42" s="324" t="s">
        <v>446</v>
      </c>
      <c r="X42" s="321"/>
      <c r="Y42" s="321"/>
    </row>
    <row r="43" spans="1:26">
      <c r="A43" s="219" t="s">
        <v>130</v>
      </c>
      <c r="B43" s="162">
        <v>318</v>
      </c>
      <c r="C43" s="162">
        <v>7</v>
      </c>
      <c r="D43" s="162" t="s">
        <v>17</v>
      </c>
      <c r="E43" s="162" t="s">
        <v>18</v>
      </c>
      <c r="F43" s="219" t="s">
        <v>130</v>
      </c>
      <c r="G43" s="229" t="s">
        <v>131</v>
      </c>
      <c r="H43" s="223" t="s">
        <v>382</v>
      </c>
      <c r="I43" s="269">
        <f t="shared" si="1"/>
        <v>33.572986347500006</v>
      </c>
      <c r="J43" s="269">
        <f t="shared" si="1"/>
        <v>34.484356805000004</v>
      </c>
      <c r="K43" s="269">
        <f t="shared" si="1"/>
        <v>35.573811145000001</v>
      </c>
      <c r="L43" s="269"/>
      <c r="M43" s="269"/>
      <c r="N43" s="269"/>
      <c r="O43" s="269"/>
      <c r="P43" s="312" t="s">
        <v>445</v>
      </c>
      <c r="Q43" s="286" t="str">
        <f t="shared" si="2"/>
        <v>09194C</v>
      </c>
      <c r="R43" s="309" t="str">
        <f t="shared" si="2"/>
        <v xml:space="preserve">Senior Water Treatment Operator </v>
      </c>
      <c r="S43" s="321">
        <f t="shared" si="0"/>
        <v>33.572986347500006</v>
      </c>
      <c r="T43" s="321">
        <f>IF($P43="Y",((VLOOKUP($Q43,Rates2019,4,0)+LIUNA2020)*PercIncr2020)-LIUNA2020,VLOOKUP($Q43,Rates2019,4,0))</f>
        <v>34.484356805000004</v>
      </c>
      <c r="U43" s="321">
        <f>IF($P43="Y",((VLOOKUP($Q43,Rates2019,5,0)+LIUNA2020)*PercIncr2020)-LIUNA2020,VLOOKUP($Q43,Rates2019,5,0))</f>
        <v>35.573811145000001</v>
      </c>
      <c r="V43" s="322"/>
      <c r="W43" s="321"/>
      <c r="X43" s="321"/>
      <c r="Y43" s="321"/>
    </row>
    <row r="44" spans="1:26">
      <c r="A44" s="219" t="s">
        <v>133</v>
      </c>
      <c r="B44" s="162">
        <v>310</v>
      </c>
      <c r="C44" s="162">
        <v>6</v>
      </c>
      <c r="D44" s="162" t="s">
        <v>17</v>
      </c>
      <c r="E44" s="162" t="s">
        <v>18</v>
      </c>
      <c r="F44" s="219" t="s">
        <v>133</v>
      </c>
      <c r="G44" s="162" t="s">
        <v>134</v>
      </c>
      <c r="H44" s="211" t="s">
        <v>135</v>
      </c>
      <c r="I44" s="269">
        <f t="shared" si="1"/>
        <v>26.492667024829505</v>
      </c>
      <c r="J44" s="269">
        <f t="shared" si="1"/>
        <v>27.798602416681604</v>
      </c>
      <c r="K44" s="269">
        <f t="shared" si="1"/>
        <v>29.084012301392612</v>
      </c>
      <c r="L44" s="269">
        <f t="shared" si="1"/>
        <v>30.464352656631181</v>
      </c>
      <c r="M44" s="269"/>
      <c r="N44" s="269"/>
      <c r="O44" s="269"/>
      <c r="P44" s="312" t="s">
        <v>445</v>
      </c>
      <c r="Q44" s="286" t="str">
        <f t="shared" si="2"/>
        <v>09184C</v>
      </c>
      <c r="R44" s="309" t="str">
        <f t="shared" si="2"/>
        <v>Sewer Pumping Station Operator</v>
      </c>
      <c r="S44" s="321">
        <f t="shared" si="0"/>
        <v>26.492667024829505</v>
      </c>
      <c r="T44" s="321">
        <f>IF($P44="Y",((VLOOKUP($Q44,Rates2019,4,0)+LIUNA2020)*PercIncr2020)-LIUNA2020,VLOOKUP($Q44,Rates2019,4,0))</f>
        <v>27.798602416681604</v>
      </c>
      <c r="U44" s="321">
        <f>IF($P44="Y",((VLOOKUP($Q44,Rates2019,5,0)+LIUNA2020)*PercIncr2020)-LIUNA2020,VLOOKUP($Q44,Rates2019,5,0))</f>
        <v>29.084012301392612</v>
      </c>
      <c r="V44" s="321">
        <f>IF($P44="Y",((VLOOKUP($Q44,Rates2019,6,0)+LIUNA2020)*PercIncr2020)-LIUNA2020,VLOOKUP($Q44,Rates2019,6,0))</f>
        <v>30.464352656631181</v>
      </c>
      <c r="W44" s="321"/>
      <c r="X44" s="321"/>
      <c r="Y44" s="321"/>
    </row>
    <row r="45" spans="1:26">
      <c r="A45" s="219" t="s">
        <v>111</v>
      </c>
      <c r="B45" s="162">
        <v>258</v>
      </c>
      <c r="C45" s="162">
        <v>5</v>
      </c>
      <c r="D45" s="162" t="s">
        <v>17</v>
      </c>
      <c r="E45" s="162" t="s">
        <v>18</v>
      </c>
      <c r="F45" s="219">
        <v>16</v>
      </c>
      <c r="G45" s="162" t="s">
        <v>136</v>
      </c>
      <c r="H45" s="211" t="s">
        <v>137</v>
      </c>
      <c r="I45" s="269">
        <f t="shared" si="1"/>
        <v>28.249837955186717</v>
      </c>
      <c r="J45" s="269"/>
      <c r="K45" s="269"/>
      <c r="L45" s="269"/>
      <c r="M45" s="269"/>
      <c r="N45" s="269"/>
      <c r="O45" s="269"/>
      <c r="P45" s="312" t="s">
        <v>445</v>
      </c>
      <c r="Q45" s="286" t="str">
        <f t="shared" si="2"/>
        <v>09220C</v>
      </c>
      <c r="R45" s="309" t="str">
        <f t="shared" si="2"/>
        <v>Shop Repair Worker I</v>
      </c>
      <c r="S45" s="321">
        <f t="shared" ref="S45:S49" si="3">IF($P45="Y",((VLOOKUP($Q45,Rates2019,3,0)+LIUNA2020)*PercIncr2020)-LIUNA2020,VLOOKUP($Q45,Rates2019,3,0))</f>
        <v>28.249837955186717</v>
      </c>
      <c r="T45" s="321"/>
      <c r="U45" s="321"/>
      <c r="V45" s="322"/>
      <c r="W45" s="321"/>
      <c r="X45" s="321"/>
      <c r="Y45" s="321"/>
    </row>
    <row r="46" spans="1:26">
      <c r="A46" s="219" t="s">
        <v>308</v>
      </c>
      <c r="B46" s="162">
        <v>295</v>
      </c>
      <c r="C46" s="162">
        <v>6</v>
      </c>
      <c r="D46" s="162" t="s">
        <v>17</v>
      </c>
      <c r="E46" s="162" t="s">
        <v>18</v>
      </c>
      <c r="F46" s="219">
        <v>17</v>
      </c>
      <c r="G46" s="162" t="s">
        <v>138</v>
      </c>
      <c r="H46" s="211" t="s">
        <v>139</v>
      </c>
      <c r="I46" s="269">
        <f t="shared" si="1"/>
        <v>29.967891952655965</v>
      </c>
      <c r="J46" s="269">
        <f t="shared" si="1"/>
        <v>30.749144068213848</v>
      </c>
      <c r="K46" s="269">
        <f t="shared" si="1"/>
        <v>31.52783049537911</v>
      </c>
      <c r="L46" s="269"/>
      <c r="M46" s="269"/>
      <c r="N46" s="269"/>
      <c r="O46" s="269"/>
      <c r="P46" s="313" t="s">
        <v>445</v>
      </c>
      <c r="Q46" s="286" t="str">
        <f t="shared" si="2"/>
        <v>09230C</v>
      </c>
      <c r="R46" s="309" t="str">
        <f t="shared" si="2"/>
        <v>Shop Repair Worker II</v>
      </c>
      <c r="S46" s="321">
        <f t="shared" si="0"/>
        <v>29.967891952655965</v>
      </c>
      <c r="T46" s="321">
        <f>IF($P46="Y",((VLOOKUP($Q46,Rates2019,4,0)+LIUNA2020)*PercIncr2020)-LIUNA2020,VLOOKUP($Q46,Rates2019,4,0))</f>
        <v>30.749144068213848</v>
      </c>
      <c r="U46" s="321">
        <f>IF($P46="Y",((VLOOKUP($Q46,Rates2019,5,0)+LIUNA2020)*PercIncr2020)-LIUNA2020,VLOOKUP($Q46,Rates2019,5,0))</f>
        <v>31.52783049537911</v>
      </c>
      <c r="V46" s="321"/>
      <c r="W46" s="321"/>
      <c r="X46" s="321"/>
      <c r="Y46" s="321"/>
    </row>
    <row r="47" spans="1:26">
      <c r="A47" s="219">
        <v>8</v>
      </c>
      <c r="B47" s="162">
        <v>260</v>
      </c>
      <c r="C47" s="162">
        <v>5</v>
      </c>
      <c r="D47" s="162" t="s">
        <v>17</v>
      </c>
      <c r="E47" s="162" t="s">
        <v>18</v>
      </c>
      <c r="F47" s="219">
        <v>8</v>
      </c>
      <c r="G47" s="162" t="s">
        <v>140</v>
      </c>
      <c r="H47" s="211" t="s">
        <v>141</v>
      </c>
      <c r="I47" s="269">
        <f t="shared" si="1"/>
        <v>20.072031822256054</v>
      </c>
      <c r="J47" s="269">
        <f t="shared" si="1"/>
        <v>21.297148029740107</v>
      </c>
      <c r="K47" s="269">
        <f t="shared" si="1"/>
        <v>23.411275265272771</v>
      </c>
      <c r="L47" s="269">
        <f t="shared" si="1"/>
        <v>24.324660333051444</v>
      </c>
      <c r="M47" s="269">
        <f t="shared" si="1"/>
        <v>26.164258910571995</v>
      </c>
      <c r="N47" s="269">
        <f t="shared" si="1"/>
        <v>27.261090698424205</v>
      </c>
      <c r="O47" s="269">
        <f t="shared" si="1"/>
        <v>28.249837955186717</v>
      </c>
      <c r="P47" s="312" t="s">
        <v>445</v>
      </c>
      <c r="Q47" s="286" t="str">
        <f t="shared" si="2"/>
        <v>09400C</v>
      </c>
      <c r="R47" s="309" t="str">
        <f t="shared" si="2"/>
        <v>Stock Worker</v>
      </c>
      <c r="S47" s="321">
        <f t="shared" si="0"/>
        <v>20.072031822256054</v>
      </c>
      <c r="T47" s="321">
        <f>IF($P47="Y",((VLOOKUP($Q47,Rates2019,4,0)+LIUNA2020)*PercIncr2020)-LIUNA2020,VLOOKUP($Q47,Rates2019,4,0))</f>
        <v>21.297148029740107</v>
      </c>
      <c r="U47" s="321">
        <f>IF($P47="Y",((VLOOKUP($Q47,Rates2019,5,0)+LIUNA2020)*PercIncr2020)-LIUNA2020,VLOOKUP($Q47,Rates2019,5,0))</f>
        <v>23.411275265272771</v>
      </c>
      <c r="V47" s="321">
        <f>IF($P47="Y",((VLOOKUP($Q47,Rates2019,6,0)+LIUNA2020)*PercIncr2020)-LIUNA2020,VLOOKUP($Q47,Rates2019,6,0))</f>
        <v>24.324660333051444</v>
      </c>
      <c r="W47" s="321">
        <f>IF($P47="Y",((VLOOKUP($Q47,Rates2019,7,0)+LIUNA2020)*PercIncr2020)-LIUNA2020,VLOOKUP($Q47,Rates2019,7,0))</f>
        <v>26.164258910571995</v>
      </c>
      <c r="X47" s="321">
        <f>IF($P47="Y",((VLOOKUP($Q47,Rates2019,8,0)+LIUNA2020)*PercIncr2020)-LIUNA2020,VLOOKUP($Q47,Rates2019,8,0))</f>
        <v>27.261090698424205</v>
      </c>
      <c r="Y47" s="321">
        <f>IF($P47="Y",((VLOOKUP($Q47,Rates2019,9,0)+LIUNA2020)*PercIncr2020)-LIUNA2020,VLOOKUP($Q47,Rates2019,9,0))</f>
        <v>28.249837955186717</v>
      </c>
      <c r="Z47" s="230"/>
    </row>
    <row r="48" spans="1:26">
      <c r="A48" s="219" t="s">
        <v>118</v>
      </c>
      <c r="B48" s="162">
        <v>333</v>
      </c>
      <c r="C48" s="162">
        <v>7</v>
      </c>
      <c r="D48" s="162" t="s">
        <v>17</v>
      </c>
      <c r="E48" s="162" t="s">
        <v>18</v>
      </c>
      <c r="F48" s="219" t="s">
        <v>117</v>
      </c>
      <c r="G48" s="162" t="s">
        <v>142</v>
      </c>
      <c r="H48" s="211" t="s">
        <v>143</v>
      </c>
      <c r="I48" s="269">
        <f t="shared" si="1"/>
        <v>26.579950657240712</v>
      </c>
      <c r="J48" s="269">
        <f t="shared" si="1"/>
        <v>27.947976708379489</v>
      </c>
      <c r="K48" s="269">
        <f t="shared" si="1"/>
        <v>29.316002759518256</v>
      </c>
      <c r="L48" s="269">
        <f t="shared" si="1"/>
        <v>30.679347797650568</v>
      </c>
      <c r="M48" s="269">
        <f t="shared" si="1"/>
        <v>32.048544102040957</v>
      </c>
      <c r="N48" s="269">
        <f t="shared" si="1"/>
        <v>33.420080912934594</v>
      </c>
      <c r="O48" s="269"/>
      <c r="P48" s="312" t="s">
        <v>445</v>
      </c>
      <c r="Q48" s="286" t="str">
        <f t="shared" si="2"/>
        <v>09284C</v>
      </c>
      <c r="R48" s="309" t="str">
        <f t="shared" si="2"/>
        <v xml:space="preserve">Stores Center Coordinator   </v>
      </c>
      <c r="S48" s="321">
        <f t="shared" si="0"/>
        <v>26.579950657240712</v>
      </c>
      <c r="T48" s="321">
        <f>IF($P48="Y",((VLOOKUP($Q48,Rates2019,4,0)+LIUNA2020)*PercIncr2020)-LIUNA2020,VLOOKUP($Q48,Rates2019,4,0))</f>
        <v>27.947976708379489</v>
      </c>
      <c r="U48" s="321">
        <f>IF($P48="Y",((VLOOKUP($Q48,Rates2019,5,0)+LIUNA2020)*PercIncr2020)-LIUNA2020,VLOOKUP($Q48,Rates2019,5,0))</f>
        <v>29.316002759518256</v>
      </c>
      <c r="V48" s="321">
        <f>IF($P48="Y",((VLOOKUP($Q48,Rates2019,6,0)+LIUNA2020)*PercIncr2020)-LIUNA2020,VLOOKUP($Q48,Rates2019,6,0))</f>
        <v>30.679347797650568</v>
      </c>
      <c r="W48" s="321">
        <f>IF($P48="Y",((VLOOKUP($Q48,Rates2019,7,0)+LIUNA2020)*PercIncr2020)-LIUNA2020,VLOOKUP($Q48,Rates2019,7,0))</f>
        <v>32.048544102040957</v>
      </c>
      <c r="X48" s="321">
        <f>IF($P48="Y",((VLOOKUP($Q48,Rates2019,8,0)+LIUNA2020)*PercIncr2020)-LIUNA2020,VLOOKUP($Q48,Rates2019,8,0))</f>
        <v>33.420080912934594</v>
      </c>
      <c r="Y48" s="321"/>
    </row>
    <row r="49" spans="1:25">
      <c r="A49" s="219" t="s">
        <v>383</v>
      </c>
      <c r="B49" s="162"/>
      <c r="C49" s="162"/>
      <c r="D49" s="162" t="s">
        <v>17</v>
      </c>
      <c r="E49" s="162" t="s">
        <v>18</v>
      </c>
      <c r="F49" s="219" t="s">
        <v>383</v>
      </c>
      <c r="G49" s="162" t="s">
        <v>384</v>
      </c>
      <c r="H49" s="211" t="s">
        <v>385</v>
      </c>
      <c r="I49" s="269">
        <v>35.156533000000003</v>
      </c>
      <c r="J49" s="269"/>
      <c r="K49" s="269"/>
      <c r="L49" s="269"/>
      <c r="M49" s="269"/>
      <c r="N49" s="269"/>
      <c r="O49" s="269"/>
      <c r="P49" s="312" t="s">
        <v>445</v>
      </c>
      <c r="Q49" s="286" t="str">
        <f t="shared" si="2"/>
        <v>52931C</v>
      </c>
      <c r="R49" s="309" t="str">
        <f t="shared" si="2"/>
        <v>Union Leader (Service Area Crew Leader)</v>
      </c>
      <c r="S49" s="321">
        <f t="shared" si="3"/>
        <v>34.409589106500007</v>
      </c>
      <c r="T49" s="321"/>
      <c r="U49" s="321"/>
      <c r="V49" s="321"/>
      <c r="W49" s="321"/>
      <c r="X49" s="321"/>
      <c r="Y49" s="321"/>
    </row>
    <row r="50" spans="1:25">
      <c r="A50" s="219">
        <v>22</v>
      </c>
      <c r="B50" s="162">
        <v>265</v>
      </c>
      <c r="C50" s="162">
        <v>5</v>
      </c>
      <c r="D50" s="162" t="s">
        <v>17</v>
      </c>
      <c r="E50" s="162" t="s">
        <v>18</v>
      </c>
      <c r="F50" s="219">
        <v>22</v>
      </c>
      <c r="G50" s="162" t="s">
        <v>144</v>
      </c>
      <c r="H50" s="211" t="s">
        <v>145</v>
      </c>
      <c r="I50" s="269">
        <f t="shared" si="1"/>
        <v>30.346525417500008</v>
      </c>
      <c r="J50" s="269">
        <f t="shared" si="1"/>
        <v>30.954105722500007</v>
      </c>
      <c r="K50" s="269">
        <f t="shared" si="1"/>
        <v>31.561686027500006</v>
      </c>
      <c r="L50" s="269">
        <f t="shared" si="1"/>
        <v>32.169266332500001</v>
      </c>
      <c r="M50" s="269"/>
      <c r="N50" s="269"/>
      <c r="O50" s="269"/>
      <c r="P50" s="312" t="s">
        <v>445</v>
      </c>
      <c r="Q50" s="286" t="str">
        <f t="shared" si="2"/>
        <v>10908C</v>
      </c>
      <c r="R50" s="309" t="str">
        <f t="shared" si="2"/>
        <v>Water Treatment Operator* (see below for Step)</v>
      </c>
      <c r="S50" s="321">
        <f t="shared" si="0"/>
        <v>30.346525417500008</v>
      </c>
      <c r="T50" s="321">
        <f>IF($P50="Y",((VLOOKUP($Q50,Rates2019,4,0)+LIUNA2020)*PercIncr2020)-LIUNA2020,VLOOKUP($Q50,Rates2019,4,0))</f>
        <v>30.954105722500007</v>
      </c>
      <c r="U50" s="321">
        <f>IF($P50="Y",((VLOOKUP($Q50,Rates2019,5,0)+LIUNA2020)*PercIncr2020)-LIUNA2020,VLOOKUP($Q50,Rates2019,5,0))</f>
        <v>31.561686027500006</v>
      </c>
      <c r="V50" s="321">
        <f>IF($P50="Y",((VLOOKUP($Q50,Rates2019,6,0)+LIUNA2020)*PercIncr2020)-LIUNA2020,VLOOKUP($Q50,Rates2019,6,0))</f>
        <v>32.169266332500001</v>
      </c>
      <c r="W50" s="321"/>
      <c r="X50" s="321"/>
      <c r="Y50" s="321"/>
    </row>
    <row r="51" spans="1:25">
      <c r="A51" s="219" t="s">
        <v>65</v>
      </c>
      <c r="B51" s="162">
        <v>253</v>
      </c>
      <c r="C51" s="162">
        <v>5</v>
      </c>
      <c r="D51" s="162" t="s">
        <v>17</v>
      </c>
      <c r="E51" s="162" t="s">
        <v>18</v>
      </c>
      <c r="F51" s="219" t="s">
        <v>65</v>
      </c>
      <c r="G51" s="162" t="s">
        <v>146</v>
      </c>
      <c r="H51" s="211" t="s">
        <v>147</v>
      </c>
      <c r="I51" s="269">
        <f t="shared" ref="I51:L52" si="4">S51</f>
        <v>25.135417865124673</v>
      </c>
      <c r="J51" s="269">
        <f t="shared" si="4"/>
        <v>25.98209503469479</v>
      </c>
      <c r="K51" s="269">
        <f t="shared" si="4"/>
        <v>26.858277620780239</v>
      </c>
      <c r="L51" s="269">
        <f t="shared" si="4"/>
        <v>27.938432434080305</v>
      </c>
      <c r="M51" s="269"/>
      <c r="N51" s="269"/>
      <c r="O51" s="269"/>
      <c r="P51" s="312" t="s">
        <v>445</v>
      </c>
      <c r="Q51" s="286" t="str">
        <f t="shared" si="2"/>
        <v>11030C</v>
      </c>
      <c r="R51" s="309" t="str">
        <f t="shared" si="2"/>
        <v>Yard Coordinator I</v>
      </c>
      <c r="S51" s="321">
        <f t="shared" si="0"/>
        <v>25.135417865124673</v>
      </c>
      <c r="T51" s="321">
        <f>IF($P51="Y",((VLOOKUP($Q51,Rates2019,4,0)+LIUNA2020)*PercIncr2020)-LIUNA2020,VLOOKUP($Q51,Rates2019,4,0))</f>
        <v>25.98209503469479</v>
      </c>
      <c r="U51" s="321">
        <f>IF($P51="Y",((VLOOKUP($Q51,Rates2019,5,0)+LIUNA2020)*PercIncr2020)-LIUNA2020,VLOOKUP($Q51,Rates2019,5,0))</f>
        <v>26.858277620780239</v>
      </c>
      <c r="V51" s="321">
        <f>IF($P51="Y",((VLOOKUP($Q51,Rates2019,6,0)+LIUNA2020)*PercIncr2020)-LIUNA2020,VLOOKUP($Q51,Rates2019,6,0))</f>
        <v>27.938432434080305</v>
      </c>
      <c r="W51" s="321"/>
      <c r="X51" s="321"/>
      <c r="Y51" s="321"/>
    </row>
    <row r="52" spans="1:25">
      <c r="A52" s="219">
        <v>13</v>
      </c>
      <c r="B52" s="162">
        <v>275</v>
      </c>
      <c r="C52" s="162">
        <v>6</v>
      </c>
      <c r="D52" s="162" t="s">
        <v>17</v>
      </c>
      <c r="E52" s="162" t="s">
        <v>18</v>
      </c>
      <c r="F52" s="219">
        <v>13</v>
      </c>
      <c r="G52" s="162" t="s">
        <v>148</v>
      </c>
      <c r="H52" s="211" t="s">
        <v>149</v>
      </c>
      <c r="I52" s="269">
        <f t="shared" si="4"/>
        <v>26.492667024829505</v>
      </c>
      <c r="J52" s="269">
        <f t="shared" si="4"/>
        <v>27.798602416681604</v>
      </c>
      <c r="K52" s="269">
        <f t="shared" si="4"/>
        <v>29.084012301392612</v>
      </c>
      <c r="L52" s="269">
        <f t="shared" si="4"/>
        <v>30.464352656631181</v>
      </c>
      <c r="M52" s="269"/>
      <c r="N52" s="269"/>
      <c r="O52" s="269"/>
      <c r="P52" s="312" t="s">
        <v>445</v>
      </c>
      <c r="Q52" s="286" t="str">
        <f t="shared" si="2"/>
        <v>11040C</v>
      </c>
      <c r="R52" s="309" t="str">
        <f t="shared" si="2"/>
        <v>Yard Coordinator II</v>
      </c>
      <c r="S52" s="321">
        <f t="shared" si="0"/>
        <v>26.492667024829505</v>
      </c>
      <c r="T52" s="321">
        <f>IF($P52="Y",((VLOOKUP($Q52,Rates2019,4,0)+LIUNA2020)*PercIncr2020)-LIUNA2020,VLOOKUP($Q52,Rates2019,4,0))</f>
        <v>27.798602416681604</v>
      </c>
      <c r="U52" s="321">
        <f>IF($P52="Y",((VLOOKUP($Q52,Rates2019,5,0)+LIUNA2020)*PercIncr2020)-LIUNA2020,VLOOKUP($Q52,Rates2019,5,0))</f>
        <v>29.084012301392612</v>
      </c>
      <c r="V52" s="321">
        <f>IF($P52="Y",((VLOOKUP($Q52,Rates2019,6,0)+LIUNA2020)*PercIncr2020)-LIUNA2020,VLOOKUP($Q52,Rates2019,6,0))</f>
        <v>30.464352656631181</v>
      </c>
      <c r="W52" s="321"/>
      <c r="X52" s="321"/>
      <c r="Y52" s="321"/>
    </row>
    <row r="53" spans="1:25">
      <c r="A53" s="219"/>
      <c r="C53" s="162"/>
      <c r="D53" s="231" t="s">
        <v>386</v>
      </c>
      <c r="E53" s="208"/>
      <c r="F53" s="219"/>
      <c r="G53" s="219"/>
      <c r="I53" s="218"/>
      <c r="J53" s="220"/>
      <c r="K53" s="220"/>
      <c r="L53" s="220"/>
      <c r="Q53" s="286"/>
      <c r="R53" s="309"/>
      <c r="S53" s="321"/>
      <c r="T53" s="321"/>
      <c r="U53" s="321"/>
      <c r="V53" s="321"/>
      <c r="W53" s="321"/>
      <c r="X53" s="321"/>
      <c r="Y53" s="321"/>
    </row>
    <row r="54" spans="1:25">
      <c r="D54" s="165" t="str">
        <f>"NOTE that in addition to the above hourly wages, a LIUNA pension fund contribution of " &amp; TEXT(LIUNA2020,"$#.###")&amp;" per hour is contributed on behalf of eligible employees."</f>
        <v>NOTE that in addition to the above hourly wages, a LIUNA pension fund contribution of $1.74 per hour is contributed on behalf of eligible employees.</v>
      </c>
      <c r="E54" s="165"/>
      <c r="I54" s="233"/>
      <c r="J54" s="162"/>
      <c r="K54" s="162"/>
      <c r="L54" s="162"/>
      <c r="M54" s="162"/>
      <c r="N54" s="162"/>
      <c r="S54" s="321"/>
      <c r="T54" s="321"/>
      <c r="U54" s="321"/>
      <c r="V54" s="321"/>
      <c r="W54" s="321"/>
      <c r="X54" s="321"/>
      <c r="Y54" s="321"/>
    </row>
    <row r="55" spans="1:25">
      <c r="D55" s="165"/>
      <c r="E55" s="165"/>
      <c r="I55" s="340"/>
      <c r="J55" s="162"/>
      <c r="K55" s="162"/>
      <c r="L55" s="162"/>
      <c r="M55" s="162"/>
      <c r="N55" s="162"/>
      <c r="S55" s="321"/>
      <c r="T55" s="321"/>
      <c r="U55" s="321"/>
      <c r="V55" s="321"/>
      <c r="W55" s="321"/>
      <c r="X55" s="321"/>
      <c r="Y55" s="321"/>
    </row>
    <row r="56" spans="1:25">
      <c r="A56" s="268"/>
      <c r="D56" s="268"/>
      <c r="E56" s="268"/>
      <c r="F56" s="268"/>
      <c r="G56" s="268"/>
      <c r="H56" s="268"/>
      <c r="I56" s="268"/>
      <c r="J56" s="268"/>
      <c r="K56" s="268"/>
      <c r="L56" s="268"/>
      <c r="M56" s="268"/>
      <c r="N56" s="268"/>
      <c r="O56" s="268"/>
      <c r="S56" s="321"/>
      <c r="T56" s="321"/>
      <c r="U56" s="321"/>
      <c r="V56" s="321"/>
      <c r="W56" s="321"/>
      <c r="X56" s="321"/>
      <c r="Y56" s="321"/>
    </row>
    <row r="57" spans="1:25">
      <c r="A57" s="650"/>
      <c r="D57" s="650"/>
      <c r="E57" s="650"/>
      <c r="F57" s="650"/>
      <c r="G57" s="650"/>
      <c r="H57" s="650"/>
      <c r="I57" s="650"/>
      <c r="J57" s="650"/>
      <c r="K57" s="650"/>
      <c r="L57" s="650"/>
      <c r="M57" s="650"/>
      <c r="N57" s="650"/>
      <c r="O57" s="650"/>
      <c r="S57" s="321"/>
      <c r="T57" s="321"/>
      <c r="U57" s="321"/>
      <c r="V57" s="321"/>
      <c r="W57" s="321"/>
      <c r="X57" s="321"/>
      <c r="Y57" s="321"/>
    </row>
    <row r="58" spans="1:25">
      <c r="D58" s="234" t="s">
        <v>344</v>
      </c>
      <c r="E58" s="234"/>
      <c r="I58" s="233"/>
      <c r="J58" s="162"/>
      <c r="K58" s="162"/>
      <c r="L58" s="162"/>
      <c r="M58" s="162"/>
      <c r="N58" s="162"/>
      <c r="R58" s="310"/>
      <c r="S58" s="321"/>
      <c r="T58" s="321"/>
      <c r="U58" s="321"/>
      <c r="V58" s="321"/>
      <c r="W58" s="321"/>
      <c r="X58" s="321"/>
      <c r="Y58" s="321"/>
    </row>
    <row r="59" spans="1:25">
      <c r="D59" s="234"/>
      <c r="E59" s="234"/>
      <c r="G59" s="162" t="s">
        <v>154</v>
      </c>
      <c r="H59" s="211" t="s">
        <v>457</v>
      </c>
      <c r="I59" s="233"/>
      <c r="J59" s="162"/>
      <c r="K59" s="162"/>
      <c r="L59" s="162"/>
      <c r="M59" s="162"/>
      <c r="N59" s="162"/>
      <c r="R59" s="310"/>
      <c r="S59" s="321"/>
      <c r="T59" s="321"/>
      <c r="U59" s="321"/>
      <c r="V59" s="321"/>
      <c r="W59" s="321"/>
      <c r="X59" s="321"/>
      <c r="Y59" s="321"/>
    </row>
    <row r="60" spans="1:25">
      <c r="D60" s="234"/>
      <c r="E60" s="234"/>
      <c r="G60" s="162" t="s">
        <v>156</v>
      </c>
      <c r="H60" s="211" t="s">
        <v>458</v>
      </c>
      <c r="I60" s="233"/>
      <c r="J60" s="162"/>
      <c r="K60" s="162"/>
      <c r="L60" s="162"/>
      <c r="M60" s="162"/>
      <c r="N60" s="162"/>
      <c r="R60" s="310"/>
      <c r="S60" s="321"/>
      <c r="T60" s="321"/>
      <c r="U60" s="321"/>
      <c r="V60" s="321"/>
      <c r="W60" s="321"/>
      <c r="X60" s="321"/>
      <c r="Y60" s="321"/>
    </row>
    <row r="61" spans="1:25">
      <c r="D61" s="234"/>
      <c r="E61" s="234"/>
      <c r="G61" s="162" t="s">
        <v>158</v>
      </c>
      <c r="H61" s="211" t="s">
        <v>459</v>
      </c>
      <c r="I61" s="233"/>
      <c r="J61" s="162"/>
      <c r="K61" s="162"/>
      <c r="L61" s="162"/>
      <c r="M61" s="162"/>
      <c r="N61" s="162"/>
      <c r="R61" s="310"/>
      <c r="S61" s="321"/>
      <c r="T61" s="321"/>
      <c r="U61" s="321"/>
      <c r="V61" s="321"/>
      <c r="W61" s="321"/>
      <c r="X61" s="321"/>
      <c r="Y61" s="321"/>
    </row>
    <row r="62" spans="1:25">
      <c r="D62" s="165"/>
      <c r="E62" s="165"/>
      <c r="I62" s="233"/>
      <c r="J62" s="162"/>
      <c r="K62" s="162"/>
      <c r="L62" s="162"/>
      <c r="M62" s="162"/>
      <c r="N62" s="162"/>
      <c r="S62" s="321"/>
      <c r="T62" s="321"/>
      <c r="U62" s="321"/>
      <c r="V62" s="321"/>
      <c r="W62" s="321"/>
      <c r="X62" s="321"/>
      <c r="Y62" s="321"/>
    </row>
    <row r="63" spans="1:25">
      <c r="D63" s="234" t="s">
        <v>345</v>
      </c>
      <c r="E63" s="234"/>
      <c r="I63" s="233"/>
      <c r="J63" s="162"/>
      <c r="K63" s="162"/>
      <c r="L63" s="162"/>
      <c r="M63" s="162"/>
      <c r="N63" s="162"/>
      <c r="Q63" s="278"/>
      <c r="R63" s="310"/>
      <c r="S63" s="321"/>
      <c r="T63" s="321"/>
      <c r="U63" s="321"/>
      <c r="V63" s="321"/>
      <c r="W63" s="321"/>
      <c r="X63" s="321"/>
      <c r="Y63" s="321"/>
    </row>
    <row r="64" spans="1:25">
      <c r="D64" s="163"/>
      <c r="E64" s="163"/>
      <c r="F64" s="159" t="s">
        <v>163</v>
      </c>
      <c r="G64" s="162" t="s">
        <v>154</v>
      </c>
      <c r="H64" s="211" t="s">
        <v>164</v>
      </c>
      <c r="I64" s="208"/>
      <c r="J64" s="162"/>
      <c r="K64" s="162"/>
      <c r="L64" s="162"/>
      <c r="M64" s="162"/>
      <c r="N64" s="162"/>
      <c r="Q64" s="278"/>
      <c r="R64" s="310"/>
      <c r="S64" s="321"/>
      <c r="T64" s="321"/>
      <c r="U64" s="321"/>
      <c r="V64" s="321"/>
      <c r="W64" s="321"/>
      <c r="X64" s="321"/>
      <c r="Y64" s="321"/>
    </row>
    <row r="65" spans="1:30">
      <c r="D65" s="163"/>
      <c r="E65" s="163"/>
      <c r="F65" s="159" t="s">
        <v>165</v>
      </c>
      <c r="G65" s="162" t="s">
        <v>156</v>
      </c>
      <c r="H65" s="211" t="s">
        <v>166</v>
      </c>
      <c r="I65" s="208"/>
      <c r="J65" s="162"/>
      <c r="K65" s="162"/>
      <c r="L65" s="162"/>
      <c r="M65" s="162"/>
      <c r="N65" s="162"/>
      <c r="Q65" s="278"/>
      <c r="R65" s="310"/>
      <c r="S65" s="321"/>
      <c r="T65" s="321"/>
      <c r="U65" s="321"/>
      <c r="V65" s="321"/>
      <c r="W65" s="321"/>
      <c r="X65" s="321"/>
      <c r="Y65" s="321"/>
    </row>
    <row r="66" spans="1:30">
      <c r="D66" s="163"/>
      <c r="E66" s="163"/>
      <c r="F66" s="159" t="s">
        <v>167</v>
      </c>
      <c r="G66" s="162" t="s">
        <v>158</v>
      </c>
      <c r="H66" s="211" t="s">
        <v>168</v>
      </c>
      <c r="I66" s="208"/>
      <c r="J66" s="162"/>
      <c r="K66" s="162"/>
      <c r="L66" s="162"/>
      <c r="M66" s="162"/>
      <c r="N66" s="162"/>
      <c r="O66" s="162"/>
      <c r="Q66" s="278"/>
      <c r="R66" s="310"/>
      <c r="S66" s="321"/>
      <c r="T66" s="321"/>
      <c r="U66" s="321"/>
      <c r="V66" s="321"/>
      <c r="W66" s="321"/>
      <c r="X66" s="321"/>
      <c r="Y66" s="321"/>
    </row>
    <row r="67" spans="1:30">
      <c r="D67" s="163"/>
      <c r="E67" s="163"/>
      <c r="F67" s="159" t="s">
        <v>169</v>
      </c>
      <c r="G67" s="162" t="s">
        <v>170</v>
      </c>
      <c r="H67" s="211" t="s">
        <v>171</v>
      </c>
      <c r="I67" s="208"/>
      <c r="J67" s="162"/>
      <c r="K67" s="162"/>
      <c r="L67" s="162"/>
      <c r="M67" s="162"/>
      <c r="N67" s="162"/>
      <c r="Q67" s="278"/>
      <c r="R67" s="310"/>
      <c r="S67" s="321"/>
      <c r="T67" s="321"/>
      <c r="U67" s="321"/>
      <c r="V67" s="321"/>
      <c r="W67" s="321"/>
      <c r="X67" s="321"/>
      <c r="Y67" s="321"/>
    </row>
    <row r="68" spans="1:30">
      <c r="D68" s="163"/>
      <c r="E68" s="163"/>
      <c r="G68" s="162"/>
      <c r="I68" s="208"/>
      <c r="J68" s="162"/>
      <c r="K68" s="162"/>
      <c r="L68" s="162"/>
      <c r="M68" s="162"/>
      <c r="N68" s="162"/>
      <c r="Q68" s="278"/>
      <c r="R68" s="310"/>
      <c r="S68" s="321"/>
      <c r="T68" s="321"/>
      <c r="U68" s="321"/>
      <c r="V68" s="321"/>
      <c r="W68" s="321"/>
      <c r="X68" s="321"/>
      <c r="Y68" s="321"/>
    </row>
    <row r="69" spans="1:30">
      <c r="A69" s="83"/>
      <c r="D69" s="235" t="s">
        <v>346</v>
      </c>
      <c r="E69" s="163"/>
      <c r="F69" s="83"/>
      <c r="G69" s="83"/>
      <c r="I69" s="233"/>
      <c r="J69" s="162"/>
      <c r="K69" s="162"/>
      <c r="L69" s="162"/>
      <c r="M69" s="162"/>
      <c r="N69" s="162"/>
      <c r="S69" s="321"/>
      <c r="T69" s="321"/>
      <c r="U69" s="321"/>
      <c r="V69" s="321"/>
      <c r="W69" s="321"/>
      <c r="X69" s="321"/>
      <c r="Y69" s="321"/>
    </row>
    <row r="70" spans="1:30" s="159" customFormat="1">
      <c r="D70" s="317" t="s">
        <v>447</v>
      </c>
      <c r="E70" s="210"/>
      <c r="F70" s="159" t="s">
        <v>174</v>
      </c>
      <c r="H70" s="163" t="str">
        <f>"Plant Service Workers who hold a Class 'D' Water Supply Certificate shall receive an additional "&amp;TEXT(S70,"$0.000")&amp;" per hour for all hours paid."</f>
        <v>Plant Service Workers who hold a Class 'D' Water Supply Certificate shall receive an additional $0.262 per hour for all hours paid.</v>
      </c>
      <c r="I70" s="233"/>
      <c r="J70" s="162"/>
      <c r="K70" s="162"/>
      <c r="L70" s="162"/>
      <c r="M70" s="162"/>
      <c r="N70" s="162"/>
      <c r="P70" s="279" t="s">
        <v>445</v>
      </c>
      <c r="Q70" s="279" t="s">
        <v>389</v>
      </c>
      <c r="R70" s="279" t="s">
        <v>390</v>
      </c>
      <c r="S70" s="321">
        <f>IF(P70="Y",VLOOKUP(Q70,Rates2019,3,0)*PercIncr2020,VLOOKUP(Q70,Rates2019,3,0))</f>
        <v>0.26188806250000002</v>
      </c>
      <c r="T70" s="321"/>
      <c r="U70" s="321"/>
      <c r="V70" s="321"/>
      <c r="W70" s="321"/>
      <c r="X70" s="321"/>
      <c r="Y70" s="321"/>
      <c r="Z70" s="208"/>
      <c r="AA70" s="208"/>
      <c r="AB70" s="208"/>
      <c r="AC70" s="208"/>
      <c r="AD70" s="208"/>
    </row>
    <row r="71" spans="1:30" s="159" customFormat="1">
      <c r="D71" s="210"/>
      <c r="E71" s="210"/>
      <c r="H71" s="211"/>
      <c r="I71" s="233"/>
      <c r="J71" s="162"/>
      <c r="K71" s="162"/>
      <c r="L71" s="162"/>
      <c r="M71" s="162"/>
      <c r="N71" s="162"/>
      <c r="P71" s="279"/>
      <c r="Q71" s="279"/>
      <c r="R71" s="279"/>
      <c r="S71" s="284"/>
      <c r="T71" s="284"/>
      <c r="U71" s="321"/>
      <c r="V71" s="321"/>
      <c r="W71" s="321"/>
      <c r="X71" s="321"/>
      <c r="Y71" s="321"/>
      <c r="Z71" s="208"/>
      <c r="AA71" s="208"/>
      <c r="AB71" s="208"/>
      <c r="AC71" s="208"/>
      <c r="AD71" s="208"/>
    </row>
    <row r="72" spans="1:30" s="159" customFormat="1">
      <c r="D72" s="163" t="s">
        <v>348</v>
      </c>
      <c r="E72" s="314"/>
      <c r="F72" s="315"/>
      <c r="G72" s="315"/>
      <c r="H72" s="316"/>
      <c r="I72" s="233"/>
      <c r="J72" s="162"/>
      <c r="K72" s="162"/>
      <c r="L72" s="162"/>
      <c r="M72" s="162"/>
      <c r="N72" s="162"/>
      <c r="P72" s="279"/>
      <c r="Q72" s="279"/>
      <c r="R72" s="279"/>
      <c r="S72" s="284"/>
      <c r="T72" s="284"/>
      <c r="U72" s="321"/>
      <c r="V72" s="321"/>
      <c r="W72" s="321"/>
      <c r="X72" s="321"/>
      <c r="Y72" s="321"/>
      <c r="Z72" s="208"/>
      <c r="AA72" s="208"/>
      <c r="AB72" s="208"/>
      <c r="AC72" s="208"/>
      <c r="AD72" s="208"/>
    </row>
    <row r="73" spans="1:30" s="159" customFormat="1">
      <c r="D73" s="163" t="s">
        <v>176</v>
      </c>
      <c r="E73" s="163"/>
      <c r="H73" s="211"/>
      <c r="I73" s="233"/>
      <c r="J73" s="162"/>
      <c r="K73" s="162"/>
      <c r="L73" s="162"/>
      <c r="M73" s="162"/>
      <c r="N73" s="162"/>
      <c r="P73" s="279"/>
      <c r="Q73" s="279"/>
      <c r="R73" s="279"/>
      <c r="S73" s="284"/>
      <c r="T73" s="284"/>
      <c r="U73" s="321"/>
      <c r="V73" s="321"/>
      <c r="W73" s="321"/>
      <c r="X73" s="321"/>
      <c r="Y73" s="321"/>
      <c r="Z73" s="208"/>
      <c r="AA73" s="208"/>
      <c r="AB73" s="208"/>
      <c r="AC73" s="208"/>
      <c r="AD73" s="208"/>
    </row>
    <row r="74" spans="1:30" s="159" customFormat="1">
      <c r="D74" s="210"/>
      <c r="E74" s="210"/>
      <c r="H74" s="160"/>
      <c r="I74" s="236"/>
      <c r="J74" s="162"/>
      <c r="K74" s="162"/>
      <c r="L74" s="162"/>
      <c r="M74" s="162"/>
      <c r="N74" s="162"/>
      <c r="P74" s="279"/>
      <c r="Q74" s="279"/>
      <c r="R74" s="279"/>
      <c r="S74" s="284"/>
      <c r="T74" s="284"/>
      <c r="U74" s="321"/>
      <c r="V74" s="321"/>
      <c r="W74" s="321"/>
      <c r="X74" s="321"/>
      <c r="Y74" s="321"/>
      <c r="Z74" s="208"/>
      <c r="AA74" s="208"/>
      <c r="AB74" s="208"/>
      <c r="AC74" s="208"/>
      <c r="AD74" s="208"/>
    </row>
    <row r="75" spans="1:30">
      <c r="D75" s="234" t="s">
        <v>448</v>
      </c>
      <c r="E75" s="234"/>
      <c r="H75" s="159" t="s">
        <v>449</v>
      </c>
      <c r="I75" s="236"/>
      <c r="J75" s="83"/>
      <c r="K75" s="83"/>
      <c r="L75" s="161"/>
      <c r="M75" s="162"/>
      <c r="N75" s="162"/>
      <c r="P75" s="279" t="s">
        <v>445</v>
      </c>
      <c r="Q75" s="279" t="s">
        <v>391</v>
      </c>
      <c r="R75" s="279" t="s">
        <v>392</v>
      </c>
      <c r="S75" s="321">
        <f>IF(P75="Y",VLOOKUP(Q75,Rates2019,3,0)*PercIncr2020,VLOOKUP(Q75,Rates2019,3,0))</f>
        <v>1.9497675000000001</v>
      </c>
      <c r="T75" s="284"/>
      <c r="U75" s="321"/>
      <c r="V75" s="321"/>
      <c r="W75" s="321"/>
      <c r="X75" s="321"/>
      <c r="Y75" s="321"/>
    </row>
    <row r="76" spans="1:30">
      <c r="A76" s="164"/>
      <c r="D76" s="163" t="str">
        <f>"duties, and shall receive a premium of "&amp;TEXT(S75,"$0.000" )&amp;" per hour on a 'as worked' basis when so assigned."</f>
        <v>duties, and shall receive a premium of $1.950 per hour on a 'as worked' basis when so assigned.</v>
      </c>
      <c r="E76" s="164"/>
      <c r="F76" s="164"/>
      <c r="H76" s="160"/>
      <c r="I76" s="159"/>
      <c r="J76" s="83"/>
      <c r="K76" s="83"/>
      <c r="L76" s="161"/>
      <c r="M76" s="162"/>
      <c r="N76" s="162"/>
      <c r="Q76" s="279"/>
      <c r="R76" s="279"/>
      <c r="S76" s="284"/>
      <c r="T76" s="284"/>
      <c r="U76" s="321"/>
      <c r="V76" s="321"/>
      <c r="W76" s="321"/>
      <c r="X76" s="321"/>
      <c r="Y76" s="321"/>
    </row>
    <row r="77" spans="1:30">
      <c r="A77" s="164"/>
      <c r="D77" s="163"/>
      <c r="E77" s="164"/>
      <c r="F77" s="164"/>
      <c r="H77" s="160"/>
      <c r="I77" s="159"/>
      <c r="J77" s="83"/>
      <c r="K77" s="83"/>
      <c r="L77" s="161"/>
      <c r="M77" s="162"/>
      <c r="N77" s="162"/>
      <c r="Q77" s="279"/>
      <c r="R77" s="279"/>
      <c r="S77" s="284"/>
      <c r="T77" s="284"/>
      <c r="U77" s="321"/>
      <c r="V77" s="321"/>
      <c r="W77" s="321"/>
      <c r="X77" s="321"/>
      <c r="Y77" s="321"/>
    </row>
    <row r="78" spans="1:30">
      <c r="D78" s="237" t="s">
        <v>242</v>
      </c>
      <c r="E78" s="217"/>
      <c r="Q78" s="279"/>
      <c r="R78" s="279"/>
      <c r="S78" s="284"/>
      <c r="T78" s="284"/>
      <c r="U78" s="321"/>
      <c r="V78" s="321"/>
      <c r="W78" s="321"/>
      <c r="X78" s="321"/>
      <c r="Y78" s="321"/>
    </row>
    <row r="79" spans="1:30">
      <c r="D79" s="238" t="s">
        <v>351</v>
      </c>
      <c r="E79" s="238"/>
      <c r="H79" s="217"/>
      <c r="I79" s="239"/>
      <c r="J79" s="213"/>
      <c r="Q79" s="279"/>
      <c r="R79" s="279"/>
      <c r="S79" s="284"/>
      <c r="T79" s="284"/>
      <c r="U79" s="321"/>
      <c r="V79" s="321"/>
      <c r="W79" s="321"/>
      <c r="X79" s="321"/>
      <c r="Y79" s="321"/>
    </row>
    <row r="80" spans="1:30">
      <c r="D80" s="238" t="str">
        <f>"premium of "&amp;TEXT(S80,"$0.000")&amp;" per hour for all hours spent training shall be paid.  The employer will establish strict assignment protocol."</f>
        <v>premium of $3.282 per hour for all hours spent training shall be paid.  The employer will establish strict assignment protocol.</v>
      </c>
      <c r="E80" s="238"/>
      <c r="H80" s="217"/>
      <c r="I80" s="239"/>
      <c r="J80" s="164"/>
      <c r="K80" s="164"/>
      <c r="L80" s="208"/>
      <c r="M80" s="208"/>
      <c r="N80" s="208"/>
      <c r="P80" s="279" t="s">
        <v>445</v>
      </c>
      <c r="Q80" s="288" t="s">
        <v>394</v>
      </c>
      <c r="R80" s="288" t="s">
        <v>395</v>
      </c>
      <c r="S80" s="321">
        <f>IF(P80="Y",VLOOKUP(Q80,Rates2019,3,0)*PercIncr2020,VLOOKUP(Q80,Rates2019,3,0))</f>
        <v>3.2819811992500005</v>
      </c>
      <c r="T80" s="321"/>
      <c r="U80" s="321"/>
      <c r="V80" s="321"/>
      <c r="W80" s="321"/>
      <c r="X80" s="321"/>
      <c r="Y80" s="321"/>
    </row>
    <row r="81" spans="1:25">
      <c r="D81" s="238"/>
      <c r="E81" s="238"/>
      <c r="I81" s="218"/>
      <c r="J81" s="220"/>
      <c r="M81" s="220"/>
      <c r="Q81" s="279"/>
      <c r="R81" s="279"/>
      <c r="S81" s="284"/>
      <c r="T81" s="284"/>
      <c r="U81" s="321"/>
      <c r="V81" s="321"/>
      <c r="W81" s="321"/>
      <c r="X81" s="321"/>
      <c r="Y81" s="321"/>
    </row>
    <row r="82" spans="1:25">
      <c r="A82" s="209"/>
      <c r="D82" s="237" t="s">
        <v>246</v>
      </c>
      <c r="E82" s="217"/>
      <c r="F82" s="209"/>
      <c r="G82" s="209"/>
      <c r="I82" s="218"/>
      <c r="J82" s="220"/>
      <c r="M82" s="220"/>
      <c r="Q82" s="279"/>
      <c r="R82" s="279"/>
      <c r="S82" s="284"/>
      <c r="T82" s="284"/>
      <c r="U82" s="321"/>
      <c r="V82" s="321"/>
      <c r="W82" s="321"/>
      <c r="X82" s="321"/>
      <c r="Y82" s="321"/>
    </row>
    <row r="83" spans="1:25">
      <c r="A83" s="209"/>
      <c r="D83" s="318" t="s">
        <v>450</v>
      </c>
      <c r="E83" s="238"/>
      <c r="F83" s="209"/>
      <c r="G83" s="209"/>
      <c r="H83" s="160" t="str">
        <f>"shall receive a premium of "&amp;TEXT(S83,"$0.000")&amp;" per hour for all hours worked performing Bio-Hazard Clean-up duties. "</f>
        <v xml:space="preserve">shall receive a premium of $0.835 per hour for all hours worked performing Bio-Hazard Clean-up duties. </v>
      </c>
      <c r="I83" s="164"/>
      <c r="J83" s="164"/>
      <c r="K83" s="240"/>
      <c r="L83" s="211"/>
      <c r="M83" s="162"/>
      <c r="N83" s="162"/>
      <c r="P83" s="279" t="s">
        <v>445</v>
      </c>
      <c r="Q83" s="279" t="s">
        <v>398</v>
      </c>
      <c r="R83" s="279" t="s">
        <v>399</v>
      </c>
      <c r="S83" s="321">
        <f>IF(P83="Y",VLOOKUP(Q83,Rates2019,3,0)*PercIncr2020,VLOOKUP(Q83,Rates2019,3,0))</f>
        <v>0.83517600000000003</v>
      </c>
      <c r="T83" s="284"/>
      <c r="U83" s="321"/>
      <c r="V83" s="321"/>
      <c r="W83" s="321"/>
      <c r="X83" s="321"/>
      <c r="Y83" s="321"/>
    </row>
    <row r="84" spans="1:25">
      <c r="A84" s="164"/>
      <c r="D84" s="163"/>
      <c r="E84" s="164"/>
      <c r="F84" s="164"/>
      <c r="H84" s="160"/>
      <c r="I84" s="159"/>
      <c r="J84" s="83"/>
      <c r="K84" s="83"/>
      <c r="L84" s="161"/>
      <c r="M84" s="162"/>
      <c r="N84" s="162"/>
      <c r="S84" s="321"/>
      <c r="T84" s="321"/>
      <c r="U84" s="321"/>
      <c r="V84" s="321"/>
      <c r="W84" s="321"/>
      <c r="X84" s="321"/>
      <c r="Y84" s="321"/>
    </row>
    <row r="85" spans="1:25">
      <c r="A85" s="83"/>
      <c r="D85" s="166" t="s">
        <v>400</v>
      </c>
      <c r="E85" s="166"/>
      <c r="F85" s="83"/>
      <c r="G85" s="83"/>
      <c r="H85" s="160"/>
      <c r="J85" s="241"/>
      <c r="K85" s="241"/>
      <c r="L85" s="242"/>
      <c r="M85" s="162"/>
      <c r="N85" s="162"/>
      <c r="Q85" s="279"/>
      <c r="R85" s="279"/>
      <c r="S85" s="284"/>
      <c r="T85" s="284"/>
      <c r="U85" s="325"/>
      <c r="V85" s="325"/>
      <c r="W85" s="325"/>
      <c r="X85" s="321"/>
      <c r="Y85" s="321"/>
    </row>
    <row r="86" spans="1:25" s="231" customFormat="1" ht="39" customHeight="1">
      <c r="A86" s="243"/>
      <c r="C86" s="209"/>
      <c r="D86" s="291" t="s">
        <v>188</v>
      </c>
      <c r="E86" s="241"/>
      <c r="F86" s="243"/>
      <c r="G86" s="243"/>
      <c r="H86" s="160"/>
      <c r="I86" s="167"/>
      <c r="L86" s="244" t="s">
        <v>451</v>
      </c>
      <c r="M86" s="244" t="s">
        <v>452</v>
      </c>
      <c r="N86" s="162"/>
      <c r="O86" s="159"/>
      <c r="P86" s="279"/>
      <c r="Q86" s="279"/>
      <c r="R86" s="279"/>
      <c r="S86" s="284"/>
      <c r="T86" s="284"/>
      <c r="U86" s="321"/>
      <c r="V86" s="321"/>
      <c r="W86" s="321"/>
      <c r="X86" s="325"/>
      <c r="Y86" s="325"/>
    </row>
    <row r="87" spans="1:25">
      <c r="A87" s="83"/>
      <c r="D87" s="160" t="s">
        <v>191</v>
      </c>
      <c r="E87" s="160"/>
      <c r="F87" s="83"/>
      <c r="G87" s="83"/>
      <c r="H87" s="160"/>
      <c r="J87" s="208"/>
      <c r="K87" s="208"/>
      <c r="L87" s="269">
        <f>S87</f>
        <v>0.48642038587907555</v>
      </c>
      <c r="M87" s="269"/>
      <c r="N87" s="162"/>
      <c r="P87" s="279" t="s">
        <v>445</v>
      </c>
      <c r="Q87" s="279" t="s">
        <v>403</v>
      </c>
      <c r="R87" s="279" t="s">
        <v>404</v>
      </c>
      <c r="S87" s="321">
        <f>IF(P87="Y",VLOOKUP(Q87,Rates2019,3,0)*PercIncr2020,VLOOKUP(Q87,Rates2019,3,0))</f>
        <v>0.48642038587907555</v>
      </c>
      <c r="T87" s="284"/>
      <c r="U87" s="321"/>
      <c r="V87" s="321"/>
      <c r="W87" s="321"/>
      <c r="X87" s="321"/>
      <c r="Y87" s="321"/>
    </row>
    <row r="88" spans="1:25">
      <c r="A88" s="83"/>
      <c r="D88" s="160" t="s">
        <v>355</v>
      </c>
      <c r="E88" s="160"/>
      <c r="F88" s="83"/>
      <c r="G88" s="83"/>
      <c r="H88" s="160"/>
      <c r="J88" s="208"/>
      <c r="K88" s="208"/>
      <c r="L88" s="269">
        <f>S88</f>
        <v>0.71619498998881959</v>
      </c>
      <c r="M88" s="269">
        <f>S89</f>
        <v>1.3607704809787571</v>
      </c>
      <c r="N88" s="162"/>
      <c r="P88" s="279" t="s">
        <v>445</v>
      </c>
      <c r="Q88" s="279" t="s">
        <v>405</v>
      </c>
      <c r="R88" s="279" t="s">
        <v>406</v>
      </c>
      <c r="S88" s="321">
        <f>IF(P88="Y",VLOOKUP(Q88,Rates2019,3,0)*PercIncr2020,VLOOKUP(Q88,Rates2019,3,0))</f>
        <v>0.71619498998881959</v>
      </c>
      <c r="T88" s="284"/>
      <c r="U88" s="321"/>
      <c r="V88" s="321"/>
      <c r="W88" s="321"/>
      <c r="X88" s="321"/>
      <c r="Y88" s="321"/>
    </row>
    <row r="89" spans="1:25" hidden="1">
      <c r="A89" s="83"/>
      <c r="D89" s="160"/>
      <c r="E89" s="160"/>
      <c r="F89" s="83"/>
      <c r="G89" s="83"/>
      <c r="H89" s="160"/>
      <c r="J89" s="208"/>
      <c r="K89" s="208"/>
      <c r="L89" s="220"/>
      <c r="M89" s="220"/>
      <c r="N89" s="162"/>
      <c r="P89" s="279" t="s">
        <v>445</v>
      </c>
      <c r="Q89" s="279" t="s">
        <v>407</v>
      </c>
      <c r="R89" s="279" t="s">
        <v>408</v>
      </c>
      <c r="S89" s="321">
        <f>IF(P89="Y",VLOOKUP(Q89,Rates2019,3,0)*PercIncr2020,VLOOKUP(Q89,Rates2019,3,0))</f>
        <v>1.3607704809787571</v>
      </c>
      <c r="T89" s="284"/>
      <c r="U89" s="321"/>
      <c r="V89" s="321"/>
      <c r="W89" s="321"/>
      <c r="X89" s="321"/>
      <c r="Y89" s="321"/>
    </row>
    <row r="90" spans="1:25">
      <c r="A90" s="83"/>
      <c r="D90" s="83" t="s">
        <v>193</v>
      </c>
      <c r="E90" s="83"/>
      <c r="F90" s="83"/>
      <c r="G90" s="83"/>
      <c r="H90" s="160"/>
      <c r="J90" s="208"/>
      <c r="K90" s="208"/>
      <c r="L90" s="269" t="s">
        <v>194</v>
      </c>
      <c r="M90" s="269">
        <f>S91</f>
        <v>1.1666488942568447</v>
      </c>
      <c r="N90" s="162"/>
      <c r="Q90" s="278"/>
      <c r="R90" s="278"/>
      <c r="S90" s="321"/>
      <c r="T90" s="284"/>
      <c r="U90" s="321"/>
      <c r="V90" s="321"/>
      <c r="W90" s="321"/>
      <c r="X90" s="321"/>
      <c r="Y90" s="321"/>
    </row>
    <row r="91" spans="1:25">
      <c r="A91" s="83"/>
      <c r="D91" s="160" t="s">
        <v>195</v>
      </c>
      <c r="E91" s="160"/>
      <c r="F91" s="83"/>
      <c r="G91" s="83"/>
      <c r="H91" s="160"/>
      <c r="J91" s="208"/>
      <c r="K91" s="208"/>
      <c r="L91" s="269">
        <f>S92</f>
        <v>2.0053459719686955</v>
      </c>
      <c r="M91" s="269"/>
      <c r="N91" s="162"/>
      <c r="P91" s="279" t="s">
        <v>445</v>
      </c>
      <c r="Q91" s="279" t="s">
        <v>409</v>
      </c>
      <c r="R91" s="279" t="s">
        <v>410</v>
      </c>
      <c r="S91" s="321">
        <f>IF(P91="Y",VLOOKUP(Q91,Rates2019,3,0)*PercIncr2020,VLOOKUP(Q91,Rates2019,3,0))</f>
        <v>1.1666488942568447</v>
      </c>
      <c r="T91" s="284"/>
      <c r="U91" s="321"/>
      <c r="V91" s="321"/>
      <c r="W91" s="321"/>
      <c r="X91" s="321"/>
      <c r="Y91" s="321"/>
    </row>
    <row r="92" spans="1:25">
      <c r="A92" s="83"/>
      <c r="D92" s="83" t="s">
        <v>196</v>
      </c>
      <c r="E92" s="83"/>
      <c r="F92" s="83"/>
      <c r="G92" s="83"/>
      <c r="H92" s="160"/>
      <c r="I92" s="236"/>
      <c r="J92" s="208"/>
      <c r="K92" s="208"/>
      <c r="L92" s="269">
        <f t="shared" ref="L92:L93" si="5">S93</f>
        <v>1.7904874749720494</v>
      </c>
      <c r="M92" s="249"/>
      <c r="N92" s="162"/>
      <c r="P92" s="279" t="s">
        <v>445</v>
      </c>
      <c r="Q92" s="279" t="s">
        <v>411</v>
      </c>
      <c r="R92" s="279" t="s">
        <v>412</v>
      </c>
      <c r="S92" s="321">
        <f>IF(P92="Y",VLOOKUP(Q92,Rates2019,3,0)*PercIncr2020,VLOOKUP(Q92,Rates2019,3,0))</f>
        <v>2.0053459719686955</v>
      </c>
      <c r="T92" s="284"/>
      <c r="U92" s="321"/>
      <c r="V92" s="321"/>
      <c r="W92" s="321"/>
      <c r="X92" s="321"/>
      <c r="Y92" s="321"/>
    </row>
    <row r="93" spans="1:25">
      <c r="A93" s="83"/>
      <c r="D93" s="83" t="s">
        <v>197</v>
      </c>
      <c r="E93" s="83"/>
      <c r="F93" s="83"/>
      <c r="G93" s="83"/>
      <c r="H93" s="160"/>
      <c r="I93" s="236"/>
      <c r="J93" s="208"/>
      <c r="K93" s="208"/>
      <c r="L93" s="269">
        <f t="shared" si="5"/>
        <v>0.71619498998881959</v>
      </c>
      <c r="M93" s="249"/>
      <c r="N93" s="162"/>
      <c r="P93" s="279" t="s">
        <v>445</v>
      </c>
      <c r="Q93" s="279" t="s">
        <v>413</v>
      </c>
      <c r="R93" s="279" t="s">
        <v>414</v>
      </c>
      <c r="S93" s="321">
        <f>IF(P93="Y",VLOOKUP(Q93,Rates2019,3,0)*PercIncr2020,VLOOKUP(Q93,Rates2019,3,0))</f>
        <v>1.7904874749720494</v>
      </c>
      <c r="T93" s="284"/>
      <c r="U93" s="321"/>
      <c r="V93" s="321"/>
      <c r="W93" s="321"/>
      <c r="X93" s="321"/>
      <c r="Y93" s="321"/>
    </row>
    <row r="94" spans="1:25">
      <c r="A94" s="83"/>
      <c r="D94" s="83"/>
      <c r="E94" s="83"/>
      <c r="F94" s="83"/>
      <c r="G94" s="83"/>
      <c r="H94" s="160"/>
      <c r="I94" s="236"/>
      <c r="J94" s="83"/>
      <c r="K94" s="83"/>
      <c r="L94" s="83"/>
      <c r="M94" s="162"/>
      <c r="N94" s="162"/>
      <c r="P94" s="279" t="s">
        <v>445</v>
      </c>
      <c r="Q94" s="279" t="s">
        <v>415</v>
      </c>
      <c r="R94" s="279" t="s">
        <v>416</v>
      </c>
      <c r="S94" s="321">
        <f>IF(P94="Y",VLOOKUP(Q94,Rates2019,3,0)*PercIncr2020,VLOOKUP(Q94,Rates2019,3,0))</f>
        <v>0.71619498998881959</v>
      </c>
      <c r="T94" s="284"/>
      <c r="U94" s="321"/>
      <c r="V94" s="321"/>
      <c r="W94" s="321"/>
      <c r="X94" s="321"/>
      <c r="Y94" s="321"/>
    </row>
    <row r="95" spans="1:25">
      <c r="A95" s="83"/>
      <c r="D95" s="234" t="s">
        <v>198</v>
      </c>
      <c r="E95" s="234"/>
      <c r="F95" s="83"/>
      <c r="G95" s="83"/>
      <c r="H95" s="160"/>
      <c r="I95" s="236"/>
      <c r="J95" s="83"/>
      <c r="K95" s="83"/>
      <c r="L95" s="83"/>
      <c r="M95" s="162"/>
      <c r="N95" s="162"/>
      <c r="S95" s="321"/>
      <c r="T95" s="284"/>
      <c r="U95" s="321"/>
      <c r="V95" s="321"/>
      <c r="W95" s="321"/>
      <c r="X95" s="321"/>
      <c r="Y95" s="321"/>
    </row>
    <row r="96" spans="1:25">
      <c r="A96" s="170"/>
      <c r="D96" s="165" t="s">
        <v>199</v>
      </c>
      <c r="E96" s="232"/>
      <c r="F96" s="170"/>
      <c r="G96" s="170"/>
      <c r="H96" s="245"/>
      <c r="I96" s="170"/>
      <c r="J96" s="170"/>
      <c r="K96" s="170"/>
      <c r="L96" s="170"/>
      <c r="M96" s="246"/>
      <c r="N96" s="246"/>
      <c r="Q96" s="279"/>
      <c r="R96" s="279"/>
      <c r="S96" s="284"/>
      <c r="T96" s="284"/>
      <c r="U96" s="321"/>
      <c r="V96" s="321"/>
      <c r="W96" s="321"/>
      <c r="X96" s="321"/>
      <c r="Y96" s="321"/>
    </row>
    <row r="97" spans="1:25">
      <c r="A97" s="170"/>
      <c r="D97" s="165" t="s">
        <v>200</v>
      </c>
      <c r="E97" s="232"/>
      <c r="F97" s="170"/>
      <c r="G97" s="170"/>
      <c r="H97" s="245"/>
      <c r="I97" s="170"/>
      <c r="J97" s="170"/>
      <c r="K97" s="170"/>
      <c r="L97" s="170"/>
      <c r="M97" s="246"/>
      <c r="N97" s="246"/>
      <c r="Q97" s="279"/>
      <c r="R97" s="279"/>
      <c r="S97" s="284"/>
      <c r="T97" s="284"/>
      <c r="U97" s="321"/>
      <c r="V97" s="321"/>
      <c r="W97" s="321"/>
      <c r="X97" s="321"/>
      <c r="Y97" s="321"/>
    </row>
    <row r="98" spans="1:25">
      <c r="A98" s="170"/>
      <c r="D98" s="165" t="s">
        <v>201</v>
      </c>
      <c r="E98" s="232"/>
      <c r="F98" s="170"/>
      <c r="G98" s="170"/>
      <c r="H98" s="245"/>
      <c r="I98" s="170"/>
      <c r="J98" s="170"/>
      <c r="K98" s="170"/>
      <c r="L98" s="170"/>
      <c r="M98" s="246"/>
      <c r="N98" s="246"/>
      <c r="Q98" s="279"/>
      <c r="R98" s="279"/>
      <c r="S98" s="284"/>
      <c r="T98" s="284"/>
      <c r="U98" s="321"/>
      <c r="V98" s="321"/>
      <c r="W98" s="321"/>
      <c r="X98" s="321"/>
      <c r="Y98" s="321"/>
    </row>
    <row r="99" spans="1:25">
      <c r="A99" s="170"/>
      <c r="D99" s="165" t="s">
        <v>202</v>
      </c>
      <c r="E99" s="232"/>
      <c r="F99" s="170"/>
      <c r="G99" s="170"/>
      <c r="H99" s="245"/>
      <c r="I99" s="170"/>
      <c r="J99" s="170"/>
      <c r="K99" s="170"/>
      <c r="L99" s="170"/>
      <c r="M99" s="246"/>
      <c r="N99" s="246"/>
      <c r="Q99" s="279"/>
      <c r="R99" s="279"/>
      <c r="S99" s="284"/>
      <c r="T99" s="284"/>
      <c r="U99" s="321"/>
      <c r="V99" s="321"/>
      <c r="W99" s="321"/>
      <c r="X99" s="321"/>
      <c r="Y99" s="321"/>
    </row>
    <row r="100" spans="1:25">
      <c r="A100" s="170"/>
      <c r="D100" s="165" t="s">
        <v>203</v>
      </c>
      <c r="E100" s="232"/>
      <c r="F100" s="170"/>
      <c r="G100" s="170"/>
      <c r="H100" s="245"/>
      <c r="I100" s="170"/>
      <c r="J100" s="170"/>
      <c r="K100" s="170"/>
      <c r="L100" s="170"/>
      <c r="M100" s="246"/>
      <c r="N100" s="246"/>
      <c r="Q100" s="279"/>
      <c r="R100" s="279"/>
      <c r="S100" s="284"/>
      <c r="T100" s="284"/>
      <c r="U100" s="321"/>
      <c r="V100" s="321"/>
      <c r="W100" s="321"/>
      <c r="X100" s="321"/>
      <c r="Y100" s="321"/>
    </row>
    <row r="101" spans="1:25">
      <c r="A101" s="170"/>
      <c r="D101" s="165" t="s">
        <v>204</v>
      </c>
      <c r="E101" s="232"/>
      <c r="F101" s="170"/>
      <c r="G101" s="170"/>
      <c r="H101" s="245"/>
      <c r="I101" s="170"/>
      <c r="J101" s="170"/>
      <c r="K101" s="170"/>
      <c r="L101" s="170"/>
      <c r="M101" s="246"/>
      <c r="N101" s="246"/>
      <c r="Q101" s="279"/>
      <c r="R101" s="279"/>
      <c r="S101" s="284"/>
      <c r="T101" s="284"/>
      <c r="U101" s="321"/>
      <c r="V101" s="321"/>
      <c r="W101" s="321"/>
      <c r="X101" s="321"/>
      <c r="Y101" s="321"/>
    </row>
    <row r="102" spans="1:25">
      <c r="A102" s="170"/>
      <c r="D102" s="165" t="s">
        <v>205</v>
      </c>
      <c r="E102" s="232"/>
      <c r="F102" s="170"/>
      <c r="G102" s="170"/>
      <c r="H102" s="245"/>
      <c r="I102" s="170"/>
      <c r="J102" s="170"/>
      <c r="K102" s="170"/>
      <c r="L102" s="170"/>
      <c r="M102" s="246"/>
      <c r="N102" s="246"/>
      <c r="Q102" s="279"/>
      <c r="R102" s="279"/>
      <c r="S102" s="284"/>
      <c r="T102" s="284"/>
      <c r="U102" s="326"/>
      <c r="V102" s="321"/>
      <c r="W102" s="321"/>
      <c r="X102" s="321"/>
      <c r="Y102" s="321"/>
    </row>
    <row r="103" spans="1:25">
      <c r="A103" s="170"/>
      <c r="D103" s="165" t="s">
        <v>206</v>
      </c>
      <c r="E103" s="232"/>
      <c r="F103" s="170"/>
      <c r="G103" s="170"/>
      <c r="H103" s="245"/>
      <c r="I103" s="170"/>
      <c r="J103" s="170"/>
      <c r="K103" s="170"/>
      <c r="L103" s="170"/>
      <c r="M103" s="246"/>
      <c r="N103" s="246"/>
      <c r="Q103" s="279"/>
      <c r="R103" s="279"/>
      <c r="S103" s="284"/>
      <c r="T103" s="284"/>
      <c r="U103" s="326"/>
      <c r="V103" s="321"/>
      <c r="W103" s="321"/>
      <c r="X103" s="321"/>
      <c r="Y103" s="321"/>
    </row>
    <row r="104" spans="1:25">
      <c r="A104" s="170"/>
      <c r="D104" s="163" t="s">
        <v>207</v>
      </c>
      <c r="E104" s="247"/>
      <c r="F104" s="170"/>
      <c r="G104" s="170"/>
      <c r="H104" s="245"/>
      <c r="I104" s="170"/>
      <c r="J104" s="170"/>
      <c r="K104" s="170"/>
      <c r="L104" s="170"/>
      <c r="M104" s="246"/>
      <c r="N104" s="246"/>
      <c r="Q104" s="279"/>
      <c r="R104" s="279"/>
      <c r="S104" s="284"/>
      <c r="T104" s="284"/>
      <c r="U104" s="321"/>
      <c r="V104" s="326"/>
      <c r="W104" s="321"/>
      <c r="X104" s="321"/>
      <c r="Y104" s="321"/>
    </row>
    <row r="105" spans="1:25">
      <c r="A105" s="170"/>
      <c r="D105" s="163" t="s">
        <v>208</v>
      </c>
      <c r="E105" s="247"/>
      <c r="F105" s="170"/>
      <c r="G105" s="170"/>
      <c r="H105" s="245"/>
      <c r="I105" s="170"/>
      <c r="J105" s="170"/>
      <c r="K105" s="170"/>
      <c r="L105" s="170"/>
      <c r="M105" s="246"/>
      <c r="N105" s="246"/>
      <c r="Q105" s="279"/>
      <c r="R105" s="279"/>
      <c r="S105" s="284"/>
      <c r="T105" s="284"/>
      <c r="U105" s="321"/>
      <c r="V105" s="326"/>
      <c r="W105" s="321"/>
      <c r="X105" s="321"/>
      <c r="Y105" s="321"/>
    </row>
    <row r="106" spans="1:25">
      <c r="A106" s="170"/>
      <c r="D106" s="163" t="s">
        <v>209</v>
      </c>
      <c r="E106" s="247"/>
      <c r="F106" s="170"/>
      <c r="G106" s="170"/>
      <c r="H106" s="245"/>
      <c r="I106" s="170"/>
      <c r="J106" s="170"/>
      <c r="K106" s="170"/>
      <c r="L106" s="170"/>
      <c r="M106" s="246"/>
      <c r="N106" s="246"/>
      <c r="Q106" s="279"/>
      <c r="R106" s="279"/>
      <c r="S106" s="284"/>
      <c r="T106" s="284"/>
      <c r="U106" s="321"/>
      <c r="V106" s="321"/>
      <c r="W106" s="326"/>
      <c r="X106" s="321"/>
      <c r="Y106" s="321"/>
    </row>
    <row r="107" spans="1:25">
      <c r="A107" s="170"/>
      <c r="D107" s="165" t="s">
        <v>210</v>
      </c>
      <c r="E107" s="232"/>
      <c r="F107" s="170"/>
      <c r="G107" s="170"/>
      <c r="H107" s="245"/>
      <c r="I107" s="170"/>
      <c r="J107" s="170"/>
      <c r="K107" s="170"/>
      <c r="L107" s="170"/>
      <c r="M107" s="246"/>
      <c r="N107" s="246"/>
      <c r="Q107" s="279"/>
      <c r="R107" s="279"/>
      <c r="S107" s="284"/>
      <c r="T107" s="284"/>
      <c r="U107" s="321"/>
      <c r="V107" s="321"/>
      <c r="W107" s="326"/>
      <c r="X107" s="321"/>
      <c r="Y107" s="321"/>
    </row>
    <row r="108" spans="1:25">
      <c r="A108" s="170"/>
      <c r="D108" s="165" t="s">
        <v>211</v>
      </c>
      <c r="E108" s="232"/>
      <c r="F108" s="170"/>
      <c r="G108" s="170"/>
      <c r="H108" s="245"/>
      <c r="I108" s="170"/>
      <c r="J108" s="170"/>
      <c r="K108" s="170"/>
      <c r="L108" s="170"/>
      <c r="M108" s="246"/>
      <c r="N108" s="246"/>
      <c r="Q108" s="279"/>
      <c r="R108" s="279"/>
      <c r="S108" s="284"/>
      <c r="T108" s="284"/>
      <c r="U108" s="321"/>
      <c r="V108" s="321"/>
      <c r="W108" s="326"/>
      <c r="X108" s="321"/>
      <c r="Y108" s="321"/>
    </row>
    <row r="109" spans="1:25">
      <c r="A109" s="170"/>
      <c r="D109" s="165" t="s">
        <v>212</v>
      </c>
      <c r="E109" s="232"/>
      <c r="F109" s="170"/>
      <c r="G109" s="170"/>
      <c r="H109" s="245"/>
      <c r="I109" s="170"/>
      <c r="J109" s="170"/>
      <c r="K109" s="170"/>
      <c r="L109" s="170"/>
      <c r="M109" s="246"/>
      <c r="N109" s="246"/>
      <c r="Q109" s="279"/>
      <c r="R109" s="279"/>
      <c r="S109" s="284"/>
      <c r="T109" s="284"/>
      <c r="U109" s="321"/>
      <c r="V109" s="321"/>
      <c r="W109" s="326"/>
      <c r="X109" s="321"/>
      <c r="Y109" s="321"/>
    </row>
    <row r="110" spans="1:25">
      <c r="A110" s="208"/>
      <c r="D110" s="232"/>
      <c r="E110" s="232"/>
      <c r="F110" s="170"/>
      <c r="G110" s="171" t="s">
        <v>213</v>
      </c>
      <c r="H110" s="245"/>
      <c r="I110" s="170"/>
      <c r="J110" s="170"/>
      <c r="K110" s="170"/>
      <c r="L110" s="170"/>
      <c r="M110" s="246"/>
      <c r="N110" s="246"/>
      <c r="Q110" s="279"/>
      <c r="R110" s="279"/>
      <c r="S110" s="284"/>
      <c r="T110" s="284"/>
      <c r="U110" s="321"/>
      <c r="V110" s="321"/>
      <c r="W110" s="326"/>
      <c r="X110" s="321"/>
      <c r="Y110" s="321"/>
    </row>
    <row r="111" spans="1:25">
      <c r="A111" s="208"/>
      <c r="D111" s="232"/>
      <c r="E111" s="232"/>
      <c r="F111" s="170"/>
      <c r="G111" s="171" t="s">
        <v>356</v>
      </c>
      <c r="H111" s="245"/>
      <c r="I111" s="170"/>
      <c r="J111" s="170"/>
      <c r="K111" s="170"/>
      <c r="L111" s="170"/>
      <c r="M111" s="246"/>
      <c r="N111" s="246"/>
      <c r="Q111" s="279"/>
      <c r="R111" s="279"/>
      <c r="S111" s="284"/>
      <c r="T111" s="284"/>
      <c r="U111" s="321"/>
      <c r="V111" s="321"/>
      <c r="W111" s="326"/>
      <c r="X111" s="321"/>
      <c r="Y111" s="321"/>
    </row>
    <row r="112" spans="1:25">
      <c r="A112" s="208"/>
      <c r="D112" s="232"/>
      <c r="E112" s="232"/>
      <c r="F112" s="170"/>
      <c r="G112" s="171" t="s">
        <v>215</v>
      </c>
      <c r="H112" s="245"/>
      <c r="I112" s="170"/>
      <c r="J112" s="170"/>
      <c r="K112" s="170"/>
      <c r="L112" s="170"/>
      <c r="M112" s="246"/>
      <c r="N112" s="246"/>
      <c r="Q112" s="279"/>
      <c r="R112" s="279"/>
      <c r="S112" s="284"/>
      <c r="T112" s="284"/>
      <c r="U112" s="321"/>
      <c r="V112" s="321"/>
      <c r="W112" s="326"/>
      <c r="X112" s="321"/>
      <c r="Y112" s="321"/>
    </row>
    <row r="113" spans="1:25" s="164" customFormat="1">
      <c r="A113" s="170"/>
      <c r="C113" s="159"/>
      <c r="D113" s="232" t="s">
        <v>216</v>
      </c>
      <c r="E113" s="232"/>
      <c r="F113" s="170"/>
      <c r="G113" s="170"/>
      <c r="H113" s="245"/>
      <c r="I113" s="170"/>
      <c r="J113" s="246"/>
      <c r="K113" s="246"/>
      <c r="L113" s="246"/>
      <c r="M113" s="246"/>
      <c r="N113" s="246"/>
      <c r="O113" s="159"/>
      <c r="P113" s="279"/>
      <c r="Q113" s="279"/>
      <c r="R113" s="279"/>
      <c r="S113" s="284"/>
      <c r="T113" s="284"/>
      <c r="U113" s="321"/>
      <c r="V113" s="321"/>
      <c r="W113" s="321"/>
      <c r="X113" s="326"/>
      <c r="Y113" s="326"/>
    </row>
    <row r="114" spans="1:25" s="164" customFormat="1">
      <c r="A114" s="83"/>
      <c r="C114" s="159"/>
      <c r="D114" s="165"/>
      <c r="E114" s="165"/>
      <c r="F114" s="83"/>
      <c r="G114" s="83"/>
      <c r="H114" s="160"/>
      <c r="I114" s="236"/>
      <c r="J114" s="162"/>
      <c r="K114" s="162"/>
      <c r="L114" s="162"/>
      <c r="M114" s="162"/>
      <c r="N114" s="162"/>
      <c r="O114" s="159"/>
      <c r="P114" s="279"/>
      <c r="Q114" s="279"/>
      <c r="R114" s="279"/>
      <c r="S114" s="284"/>
      <c r="T114" s="284"/>
      <c r="U114" s="321"/>
      <c r="V114" s="321"/>
      <c r="W114" s="321"/>
      <c r="X114" s="326"/>
      <c r="Y114" s="326"/>
    </row>
    <row r="115" spans="1:25" s="164" customFormat="1">
      <c r="A115" s="83"/>
      <c r="C115" s="159"/>
      <c r="D115" s="166" t="s">
        <v>217</v>
      </c>
      <c r="E115" s="166"/>
      <c r="F115" s="83"/>
      <c r="G115" s="83"/>
      <c r="H115" s="160"/>
      <c r="I115" s="248"/>
      <c r="J115" s="249"/>
      <c r="K115" s="162"/>
      <c r="L115" s="162"/>
      <c r="M115" s="162"/>
      <c r="N115" s="162"/>
      <c r="O115" s="159"/>
      <c r="P115" s="279"/>
      <c r="Q115" s="279"/>
      <c r="R115" s="279"/>
      <c r="S115" s="284"/>
      <c r="T115" s="284"/>
      <c r="U115" s="321"/>
      <c r="V115" s="321"/>
      <c r="W115" s="321"/>
      <c r="X115" s="326"/>
      <c r="Y115" s="326"/>
    </row>
    <row r="116" spans="1:25">
      <c r="A116" s="83"/>
      <c r="D116" s="165" t="s">
        <v>357</v>
      </c>
      <c r="E116" s="165"/>
      <c r="F116" s="83"/>
      <c r="G116" s="83"/>
      <c r="H116" s="160"/>
      <c r="I116" s="236"/>
      <c r="J116" s="249"/>
      <c r="K116" s="162"/>
      <c r="L116" s="162"/>
      <c r="M116" s="162"/>
      <c r="N116" s="162"/>
      <c r="Q116" s="311" t="s">
        <v>417</v>
      </c>
      <c r="R116" s="279"/>
      <c r="S116" s="284"/>
      <c r="T116" s="284"/>
      <c r="U116" s="321"/>
      <c r="V116" s="321"/>
      <c r="W116" s="321"/>
      <c r="X116" s="321"/>
      <c r="Y116" s="321"/>
    </row>
    <row r="117" spans="1:25">
      <c r="A117" s="208"/>
      <c r="E117" s="269">
        <f>S117</f>
        <v>0.25841082999825882</v>
      </c>
      <c r="F117" s="208"/>
      <c r="G117" s="160" t="s">
        <v>220</v>
      </c>
      <c r="H117" s="160"/>
      <c r="I117" s="236"/>
      <c r="J117" s="249"/>
      <c r="K117" s="162"/>
      <c r="L117" s="162"/>
      <c r="M117" s="162"/>
      <c r="N117" s="162"/>
      <c r="P117" s="279" t="s">
        <v>445</v>
      </c>
      <c r="Q117" s="279" t="s">
        <v>418</v>
      </c>
      <c r="R117" s="279"/>
      <c r="S117" s="321">
        <f>IF(P117="Y",VLOOKUP(Q117,Rates2019,3,0)*PercIncr2020,VLOOKUP(Q117,Rates2019,3,0))</f>
        <v>0.25841082999825882</v>
      </c>
      <c r="T117" s="284"/>
      <c r="U117" s="321"/>
      <c r="V117" s="321"/>
      <c r="W117" s="321"/>
      <c r="X117" s="321"/>
      <c r="Y117" s="321"/>
    </row>
    <row r="118" spans="1:25">
      <c r="A118" s="208"/>
      <c r="E118" s="269">
        <f t="shared" ref="E118:E120" si="6">S118</f>
        <v>0.4294179969088715</v>
      </c>
      <c r="F118" s="208"/>
      <c r="G118" s="160" t="s">
        <v>221</v>
      </c>
      <c r="P118" s="279" t="s">
        <v>445</v>
      </c>
      <c r="Q118" s="279" t="s">
        <v>419</v>
      </c>
      <c r="R118" s="279"/>
      <c r="S118" s="321">
        <f>IF(P118="Y",VLOOKUP(Q118,Rates2019,3,0)*PercIncr2020,VLOOKUP(Q118,Rates2019,3,0))</f>
        <v>0.4294179969088715</v>
      </c>
      <c r="T118" s="284"/>
      <c r="U118" s="321"/>
      <c r="V118" s="321"/>
      <c r="W118" s="321"/>
      <c r="X118" s="321"/>
      <c r="Y118" s="321"/>
    </row>
    <row r="119" spans="1:25">
      <c r="A119" s="208"/>
      <c r="E119" s="269">
        <f t="shared" si="6"/>
        <v>0.51808837975141109</v>
      </c>
      <c r="F119" s="208"/>
      <c r="G119" s="160" t="s">
        <v>222</v>
      </c>
      <c r="H119" s="250"/>
      <c r="I119" s="251"/>
      <c r="J119" s="252"/>
      <c r="P119" s="279" t="s">
        <v>445</v>
      </c>
      <c r="Q119" s="279" t="s">
        <v>420</v>
      </c>
      <c r="R119" s="279"/>
      <c r="S119" s="321">
        <f>IF(P119="Y",VLOOKUP(Q119,Rates2019,3,0)*PercIncr2020,VLOOKUP(Q119,Rates2019,3,0))</f>
        <v>0.51808837975141109</v>
      </c>
      <c r="T119" s="284"/>
      <c r="U119" s="321"/>
      <c r="V119" s="321"/>
      <c r="W119" s="321"/>
      <c r="X119" s="321"/>
      <c r="Y119" s="321"/>
    </row>
    <row r="120" spans="1:25">
      <c r="A120" s="208"/>
      <c r="E120" s="269">
        <f t="shared" si="6"/>
        <v>0.67896178862287648</v>
      </c>
      <c r="F120" s="208"/>
      <c r="G120" s="160" t="s">
        <v>223</v>
      </c>
      <c r="I120" s="208"/>
      <c r="J120" s="252"/>
      <c r="P120" s="279" t="s">
        <v>445</v>
      </c>
      <c r="Q120" s="279" t="s">
        <v>421</v>
      </c>
      <c r="R120" s="279"/>
      <c r="S120" s="321">
        <f>IF(P120="Y",VLOOKUP(Q120,Rates2019,3,0)*PercIncr2020,VLOOKUP(Q120,Rates2019,3,0))</f>
        <v>0.67896178862287648</v>
      </c>
      <c r="T120" s="284"/>
      <c r="U120" s="321"/>
      <c r="V120" s="321"/>
      <c r="W120" s="321"/>
      <c r="X120" s="321"/>
      <c r="Y120" s="321"/>
    </row>
    <row r="121" spans="1:25">
      <c r="H121" s="253"/>
      <c r="I121" s="254"/>
      <c r="J121" s="255"/>
      <c r="Q121" s="278"/>
      <c r="R121" s="278"/>
      <c r="S121" s="321"/>
      <c r="T121" s="284"/>
      <c r="U121" s="321"/>
      <c r="V121" s="321"/>
      <c r="W121" s="321"/>
      <c r="X121" s="321"/>
      <c r="Y121" s="321"/>
    </row>
    <row r="122" spans="1:25">
      <c r="A122" s="256"/>
      <c r="D122" s="166" t="s">
        <v>224</v>
      </c>
      <c r="E122" s="166"/>
      <c r="F122" s="256"/>
      <c r="G122" s="256"/>
      <c r="I122" s="257"/>
      <c r="J122" s="258"/>
      <c r="Q122" s="278"/>
      <c r="R122" s="278"/>
      <c r="S122" s="321"/>
      <c r="T122" s="284"/>
      <c r="U122" s="321"/>
      <c r="V122" s="321"/>
      <c r="W122" s="321"/>
      <c r="X122" s="321"/>
      <c r="Y122" s="321"/>
    </row>
    <row r="123" spans="1:25">
      <c r="A123" s="259"/>
      <c r="D123" s="165" t="s">
        <v>453</v>
      </c>
      <c r="E123" s="165"/>
      <c r="F123" s="259"/>
      <c r="G123" s="259"/>
      <c r="H123" s="211" t="str">
        <f>"The employer shall pay a Shift Differential equal to  "&amp;TEXT(S125,"$0.000")&amp;" per hour for all work shifts that have a "</f>
        <v xml:space="preserve">The employer shall pay a Shift Differential equal to  $1.446 per hour for all work shifts that have a </v>
      </c>
      <c r="K123" s="208"/>
      <c r="L123" s="260"/>
      <c r="M123" s="211"/>
      <c r="N123" s="208"/>
      <c r="Q123" s="279"/>
      <c r="R123" s="279"/>
      <c r="S123" s="284"/>
      <c r="T123" s="284"/>
      <c r="U123" s="321"/>
      <c r="V123" s="321"/>
      <c r="W123" s="321"/>
      <c r="X123" s="321"/>
      <c r="Y123" s="321"/>
    </row>
    <row r="124" spans="1:25">
      <c r="A124" s="256"/>
      <c r="D124" s="165" t="s">
        <v>359</v>
      </c>
      <c r="E124" s="165"/>
      <c r="F124" s="256"/>
      <c r="G124" s="256"/>
      <c r="P124" s="278"/>
      <c r="Q124" s="279"/>
      <c r="R124" s="279"/>
      <c r="S124" s="284"/>
      <c r="T124" s="284"/>
      <c r="U124" s="321"/>
      <c r="V124" s="321"/>
      <c r="W124" s="321"/>
      <c r="X124" s="321"/>
      <c r="Y124" s="321"/>
    </row>
    <row r="125" spans="1:25">
      <c r="A125" s="258"/>
      <c r="D125" s="165" t="s">
        <v>227</v>
      </c>
      <c r="E125" s="165"/>
      <c r="F125" s="258"/>
      <c r="G125" s="258"/>
      <c r="P125" s="279" t="s">
        <v>445</v>
      </c>
      <c r="Q125" s="279" t="s">
        <v>423</v>
      </c>
      <c r="R125" s="279" t="s">
        <v>424</v>
      </c>
      <c r="S125" s="321">
        <f>IF(P125="Y",VLOOKUP(Q125,Rates2019,3,0)*PercIncr2020,VLOOKUP(Q125,Rates2019,3,0))</f>
        <v>1.4462055</v>
      </c>
      <c r="T125" s="284"/>
      <c r="U125" s="321"/>
      <c r="V125" s="321"/>
      <c r="W125" s="321"/>
      <c r="X125" s="321"/>
      <c r="Y125" s="321"/>
    </row>
    <row r="126" spans="1:25">
      <c r="A126" s="258"/>
      <c r="D126" s="165" t="s">
        <v>228</v>
      </c>
      <c r="E126" s="165"/>
      <c r="F126" s="258"/>
      <c r="G126" s="258"/>
      <c r="P126" s="279" t="s">
        <v>445</v>
      </c>
      <c r="Q126" s="279" t="s">
        <v>425</v>
      </c>
      <c r="R126" s="279" t="s">
        <v>426</v>
      </c>
      <c r="S126" s="321">
        <f>IF(P126="Y",VLOOKUP(Q126,Rates2019,3,0)*PercIncr2020,VLOOKUP(Q126,Rates2019,3,0))</f>
        <v>1.4462055</v>
      </c>
      <c r="T126" s="284"/>
      <c r="U126" s="321"/>
      <c r="V126" s="321"/>
      <c r="W126" s="321"/>
      <c r="X126" s="321"/>
      <c r="Y126" s="321"/>
    </row>
    <row r="127" spans="1:25">
      <c r="D127" s="165" t="s">
        <v>229</v>
      </c>
      <c r="E127" s="165"/>
      <c r="H127" s="160"/>
      <c r="I127" s="236"/>
      <c r="J127" s="83"/>
      <c r="K127" s="83"/>
      <c r="P127" s="279" t="s">
        <v>445</v>
      </c>
      <c r="Q127" s="279" t="s">
        <v>427</v>
      </c>
      <c r="R127" s="279" t="s">
        <v>428</v>
      </c>
      <c r="S127" s="321">
        <f>IF(P127="Y",VLOOKUP(Q127,Rates2019,3,0)*PercIncr2020,VLOOKUP(Q127,Rates2019,3,0))</f>
        <v>1.4462055</v>
      </c>
      <c r="T127" s="284"/>
      <c r="U127" s="321"/>
      <c r="V127" s="321"/>
      <c r="W127" s="321"/>
      <c r="X127" s="321"/>
      <c r="Y127" s="321"/>
    </row>
    <row r="128" spans="1:25">
      <c r="D128" s="83"/>
      <c r="E128" s="83"/>
      <c r="H128" s="160"/>
      <c r="I128" s="236"/>
      <c r="J128" s="83"/>
      <c r="K128" s="83"/>
      <c r="Q128" s="279"/>
      <c r="R128" s="279"/>
      <c r="S128" s="284"/>
      <c r="T128" s="284"/>
      <c r="U128" s="321"/>
      <c r="V128" s="321"/>
      <c r="W128" s="321"/>
      <c r="X128" s="321"/>
      <c r="Y128" s="321"/>
    </row>
    <row r="129" spans="1:25">
      <c r="A129" s="83"/>
      <c r="D129" s="83" t="s">
        <v>454</v>
      </c>
      <c r="E129" s="83"/>
      <c r="F129" s="83"/>
      <c r="G129" s="83"/>
      <c r="H129" s="160"/>
      <c r="I129" s="236"/>
      <c r="J129" s="83"/>
      <c r="K129" s="83"/>
      <c r="P129" s="279" t="s">
        <v>445</v>
      </c>
      <c r="Q129" s="279" t="s">
        <v>431</v>
      </c>
      <c r="R129" s="279" t="s">
        <v>432</v>
      </c>
      <c r="S129" s="321">
        <f>IF(P129="Y",VLOOKUP(Q129,Rates2019,3,0)*PercIncr2020,VLOOKUP(Q129,Rates2019,3,0))</f>
        <v>1.2865394999999999</v>
      </c>
      <c r="T129" s="284"/>
      <c r="U129" s="321"/>
      <c r="V129" s="321"/>
      <c r="W129" s="321"/>
      <c r="X129" s="321"/>
      <c r="Y129" s="321"/>
    </row>
    <row r="130" spans="1:25">
      <c r="D130" s="210" t="s">
        <v>455</v>
      </c>
      <c r="Q130" s="279"/>
      <c r="R130" s="279"/>
      <c r="S130" s="279"/>
      <c r="T130" s="279"/>
    </row>
    <row r="131" spans="1:25">
      <c r="A131" s="83"/>
      <c r="F131" s="83"/>
      <c r="G131" s="83"/>
      <c r="Q131" s="279"/>
      <c r="R131" s="279"/>
      <c r="S131" s="279"/>
      <c r="T131" s="279"/>
    </row>
    <row r="132" spans="1:25">
      <c r="A132" s="83"/>
      <c r="D132" s="159"/>
      <c r="E132" s="159"/>
      <c r="F132" s="83"/>
      <c r="G132" s="83"/>
      <c r="Q132" s="278"/>
      <c r="R132" s="278"/>
      <c r="T132" s="279"/>
    </row>
    <row r="133" spans="1:25">
      <c r="A133" s="83"/>
      <c r="D133" s="166" t="s">
        <v>456</v>
      </c>
      <c r="E133" s="166"/>
      <c r="F133" s="83"/>
      <c r="G133" s="83"/>
      <c r="H133" s="160"/>
      <c r="J133" s="83"/>
      <c r="K133" s="83"/>
      <c r="L133" s="83"/>
      <c r="M133" s="162"/>
      <c r="N133" s="162"/>
      <c r="Q133" s="279"/>
      <c r="R133" s="279"/>
      <c r="S133" s="279"/>
      <c r="T133" s="279"/>
      <c r="U133" s="287"/>
    </row>
    <row r="134" spans="1:25">
      <c r="A134" s="83"/>
      <c r="D134" s="165" t="s">
        <v>181</v>
      </c>
      <c r="E134" s="165"/>
      <c r="F134" s="83"/>
      <c r="G134" s="83"/>
      <c r="H134" s="160"/>
      <c r="J134" s="83"/>
      <c r="K134" s="83"/>
      <c r="L134" s="83"/>
      <c r="M134" s="162"/>
      <c r="N134" s="162"/>
      <c r="Q134" s="279"/>
      <c r="R134" s="279"/>
      <c r="S134" s="279"/>
      <c r="T134" s="279"/>
      <c r="U134" s="287"/>
      <c r="V134" s="287"/>
    </row>
    <row r="135" spans="1:25" ht="26.25">
      <c r="A135" s="208"/>
      <c r="D135" s="166"/>
      <c r="E135" s="166"/>
      <c r="F135" s="83"/>
      <c r="G135" s="168" t="s">
        <v>182</v>
      </c>
      <c r="H135" s="169" t="s">
        <v>183</v>
      </c>
      <c r="I135" s="208"/>
      <c r="J135" s="83"/>
      <c r="K135" s="83"/>
      <c r="L135" s="83"/>
      <c r="M135" s="162"/>
      <c r="N135" s="162"/>
      <c r="Q135" s="279"/>
      <c r="R135" s="279"/>
      <c r="S135" s="279"/>
      <c r="T135" s="279"/>
      <c r="U135" s="287"/>
      <c r="V135" s="287"/>
    </row>
    <row r="136" spans="1:25">
      <c r="A136" s="208"/>
      <c r="D136" s="208"/>
      <c r="E136" s="208"/>
      <c r="F136" s="83"/>
      <c r="G136" s="162" t="s">
        <v>154</v>
      </c>
      <c r="H136" s="162" t="s">
        <v>184</v>
      </c>
      <c r="I136" s="208"/>
      <c r="J136" s="83"/>
      <c r="K136" s="83"/>
      <c r="L136" s="83"/>
      <c r="M136" s="162"/>
      <c r="N136" s="162"/>
      <c r="O136" s="208"/>
      <c r="Q136" s="279"/>
      <c r="R136" s="278"/>
      <c r="T136" s="279"/>
      <c r="U136" s="287"/>
      <c r="V136" s="287"/>
      <c r="W136" s="287"/>
    </row>
    <row r="137" spans="1:25">
      <c r="A137" s="208"/>
      <c r="D137" s="163"/>
      <c r="E137" s="163"/>
      <c r="F137" s="83"/>
      <c r="G137" s="162" t="s">
        <v>156</v>
      </c>
      <c r="H137" s="162" t="s">
        <v>185</v>
      </c>
      <c r="I137" s="208"/>
      <c r="J137" s="83"/>
      <c r="K137" s="83"/>
      <c r="L137" s="83"/>
      <c r="M137" s="162"/>
      <c r="N137" s="162"/>
      <c r="Q137" s="278"/>
      <c r="R137" s="279"/>
      <c r="S137" s="279"/>
      <c r="V137" s="287"/>
      <c r="W137" s="287"/>
    </row>
    <row r="138" spans="1:25" s="164" customFormat="1">
      <c r="A138" s="208"/>
      <c r="C138" s="209"/>
      <c r="D138" s="208"/>
      <c r="E138" s="160"/>
      <c r="F138" s="208"/>
      <c r="G138" s="162" t="s">
        <v>158</v>
      </c>
      <c r="H138" s="162" t="s">
        <v>186</v>
      </c>
      <c r="I138" s="208"/>
      <c r="J138" s="83"/>
      <c r="K138" s="83"/>
      <c r="L138" s="83"/>
      <c r="M138" s="162"/>
      <c r="N138" s="162"/>
      <c r="O138" s="159"/>
      <c r="P138" s="279"/>
      <c r="Q138" s="279"/>
      <c r="R138" s="279"/>
      <c r="S138" s="279"/>
      <c r="T138" s="279"/>
      <c r="U138" s="278"/>
      <c r="V138" s="287"/>
      <c r="W138" s="287"/>
      <c r="X138" s="287"/>
      <c r="Y138" s="287"/>
    </row>
    <row r="139" spans="1:25" s="164" customFormat="1">
      <c r="A139" s="162"/>
      <c r="C139" s="209"/>
      <c r="D139" s="210"/>
      <c r="E139" s="210"/>
      <c r="F139" s="162"/>
      <c r="G139" s="162"/>
      <c r="H139" s="211"/>
      <c r="I139" s="167"/>
      <c r="J139" s="159"/>
      <c r="K139" s="159"/>
      <c r="L139" s="159"/>
      <c r="M139" s="159"/>
      <c r="N139" s="159"/>
      <c r="O139" s="159"/>
      <c r="P139" s="279"/>
      <c r="Q139" s="279"/>
      <c r="R139" s="279"/>
      <c r="S139" s="279"/>
      <c r="T139" s="279"/>
      <c r="U139" s="278"/>
      <c r="V139" s="278"/>
      <c r="W139" s="287"/>
      <c r="X139" s="287"/>
      <c r="Y139" s="287"/>
    </row>
    <row r="140" spans="1:25" s="164" customFormat="1">
      <c r="A140" s="83"/>
      <c r="C140" s="159"/>
      <c r="D140" s="165"/>
      <c r="E140" s="165"/>
      <c r="F140" s="83"/>
      <c r="G140" s="83"/>
      <c r="H140" s="211"/>
      <c r="I140" s="167"/>
      <c r="J140" s="159"/>
      <c r="K140" s="159"/>
      <c r="L140" s="159"/>
      <c r="M140" s="159"/>
      <c r="N140" s="159"/>
      <c r="O140" s="159"/>
      <c r="P140" s="279"/>
      <c r="Q140" s="279"/>
      <c r="R140" s="279"/>
      <c r="S140" s="279"/>
      <c r="T140" s="279"/>
      <c r="U140" s="278"/>
      <c r="V140" s="278"/>
      <c r="W140" s="278"/>
      <c r="X140" s="287"/>
      <c r="Y140" s="287"/>
    </row>
    <row r="141" spans="1:25" s="164" customFormat="1">
      <c r="A141" s="159"/>
      <c r="C141" s="159"/>
      <c r="D141" s="261" t="s">
        <v>364</v>
      </c>
      <c r="E141" s="210"/>
      <c r="F141" s="159"/>
      <c r="G141" s="159"/>
      <c r="H141" s="211"/>
      <c r="I141" s="167"/>
      <c r="J141" s="159"/>
      <c r="K141" s="159"/>
      <c r="L141" s="159"/>
      <c r="M141" s="159"/>
      <c r="N141" s="159"/>
      <c r="O141" s="159"/>
      <c r="P141" s="279"/>
      <c r="Q141" s="279"/>
      <c r="R141" s="279"/>
      <c r="S141" s="279"/>
      <c r="T141" s="279"/>
      <c r="U141" s="278"/>
      <c r="V141" s="278"/>
      <c r="W141" s="278"/>
      <c r="X141" s="287"/>
      <c r="Y141" s="287"/>
    </row>
    <row r="142" spans="1:25">
      <c r="D142" s="262" t="s">
        <v>365</v>
      </c>
      <c r="Q142" s="279"/>
      <c r="R142" s="279"/>
      <c r="S142" s="279"/>
      <c r="T142" s="279"/>
    </row>
    <row r="143" spans="1:25">
      <c r="D143" s="210" t="s">
        <v>366</v>
      </c>
      <c r="Q143" s="279"/>
      <c r="R143" s="279"/>
      <c r="S143" s="279"/>
      <c r="T143" s="279"/>
    </row>
    <row r="144" spans="1:25">
      <c r="D144" s="159"/>
      <c r="Q144" s="279"/>
      <c r="R144" s="279"/>
      <c r="S144" s="279"/>
      <c r="T144" s="279"/>
    </row>
    <row r="145" spans="4:20">
      <c r="D145" s="262" t="s">
        <v>367</v>
      </c>
      <c r="Q145" s="279"/>
      <c r="R145" s="279"/>
      <c r="S145" s="279"/>
      <c r="T145" s="279"/>
    </row>
    <row r="146" spans="4:20">
      <c r="D146" s="262" t="s">
        <v>368</v>
      </c>
      <c r="Q146" s="279"/>
      <c r="R146" s="279"/>
      <c r="S146" s="279"/>
      <c r="T146" s="279"/>
    </row>
    <row r="147" spans="4:20">
      <c r="D147" s="159"/>
      <c r="Q147" s="279"/>
      <c r="R147" s="279"/>
      <c r="S147" s="279"/>
      <c r="T147" s="279"/>
    </row>
    <row r="148" spans="4:20">
      <c r="D148" s="262" t="s">
        <v>369</v>
      </c>
      <c r="Q148" s="279"/>
      <c r="R148" s="279"/>
      <c r="S148" s="279"/>
      <c r="T148" s="279"/>
    </row>
    <row r="149" spans="4:20">
      <c r="D149" s="210" t="s">
        <v>370</v>
      </c>
      <c r="Q149" s="279"/>
      <c r="R149" s="279"/>
      <c r="S149" s="279"/>
      <c r="T149" s="279"/>
    </row>
    <row r="150" spans="4:20">
      <c r="Q150" s="279"/>
      <c r="R150" s="279"/>
      <c r="S150" s="279"/>
      <c r="T150" s="279"/>
    </row>
  </sheetData>
  <autoFilter ref="A5:AD54" xr:uid="{9B1A15B4-5073-478E-8B96-BB658F4DE1FB}"/>
  <pageMargins left="0.25" right="0.25" top="0.75" bottom="0.75" header="0.3" footer="0.3"/>
  <pageSetup scale="98" orientation="landscape" r:id="rId1"/>
  <headerFooter alignWithMargins="0"/>
  <rowBreaks count="1" manualBreakCount="1">
    <brk id="84"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081AE-5303-4D92-B781-82A1FF00D77C}">
  <sheetPr codeName="Sheet8"/>
  <dimension ref="A1:AD150"/>
  <sheetViews>
    <sheetView showGridLines="0" zoomScaleNormal="100" workbookViewId="0">
      <selection activeCell="H40" sqref="H40"/>
    </sheetView>
  </sheetViews>
  <sheetFormatPr defaultColWidth="9.140625" defaultRowHeight="15"/>
  <cols>
    <col min="1" max="1" width="6.42578125" style="159" bestFit="1" customWidth="1"/>
    <col min="2" max="2" width="7.5703125" style="208" customWidth="1"/>
    <col min="3" max="3" width="10.85546875" style="159" customWidth="1"/>
    <col min="4" max="4" width="8.42578125" style="210" customWidth="1"/>
    <col min="5" max="5" width="9.85546875" style="210" bestFit="1" customWidth="1"/>
    <col min="6" max="6" width="37.28515625" style="159" hidden="1" customWidth="1"/>
    <col min="7" max="7" width="10.140625" style="159" customWidth="1"/>
    <col min="8" max="8" width="57.85546875" style="211" bestFit="1" customWidth="1"/>
    <col min="9" max="9" width="9.5703125" style="167" customWidth="1"/>
    <col min="10" max="14" width="9.5703125" style="159" customWidth="1"/>
    <col min="15" max="15" width="11" style="159" bestFit="1" customWidth="1"/>
    <col min="16" max="16" width="12.140625" style="279" hidden="1" customWidth="1"/>
    <col min="17" max="17" width="13.5703125" style="280" hidden="1" customWidth="1"/>
    <col min="18" max="18" width="57.85546875" style="308" hidden="1" customWidth="1"/>
    <col min="19" max="25" width="11" style="278" hidden="1" customWidth="1"/>
    <col min="26" max="26" width="8.42578125" style="208" hidden="1" customWidth="1"/>
    <col min="27" max="30" width="0" style="208" hidden="1" customWidth="1"/>
    <col min="31" max="16384" width="9.140625" style="208"/>
  </cols>
  <sheetData>
    <row r="1" spans="1:28">
      <c r="A1" s="209" t="s">
        <v>316</v>
      </c>
      <c r="P1" s="279" t="s">
        <v>460</v>
      </c>
      <c r="Q1" s="319">
        <v>1.0149999999999999</v>
      </c>
      <c r="R1" s="344" t="s">
        <v>436</v>
      </c>
    </row>
    <row r="2" spans="1:28">
      <c r="A2" s="212" t="s">
        <v>0</v>
      </c>
      <c r="C2" s="208"/>
      <c r="D2" s="159"/>
      <c r="E2" s="211"/>
      <c r="F2" s="162"/>
      <c r="G2" s="162"/>
      <c r="H2" s="162"/>
      <c r="I2" s="162"/>
      <c r="J2" s="162"/>
      <c r="K2" s="162"/>
      <c r="P2" s="279" t="s">
        <v>461</v>
      </c>
      <c r="Q2" s="320">
        <v>1.74</v>
      </c>
    </row>
    <row r="3" spans="1:28">
      <c r="A3" s="212" t="s">
        <v>462</v>
      </c>
      <c r="C3" s="208"/>
      <c r="D3" s="209"/>
      <c r="E3" s="211"/>
      <c r="F3" s="213"/>
      <c r="G3" s="213"/>
      <c r="H3" s="213"/>
      <c r="I3" s="213"/>
      <c r="J3" s="213"/>
      <c r="K3" s="213"/>
    </row>
    <row r="4" spans="1:28">
      <c r="A4" s="159" t="s">
        <v>318</v>
      </c>
      <c r="C4" s="208"/>
    </row>
    <row r="5" spans="1:28" ht="30">
      <c r="A5" s="215" t="s">
        <v>373</v>
      </c>
      <c r="B5" s="216" t="s">
        <v>2</v>
      </c>
      <c r="C5" s="216" t="s">
        <v>374</v>
      </c>
      <c r="D5" s="216" t="s">
        <v>375</v>
      </c>
      <c r="E5" s="215" t="s">
        <v>376</v>
      </c>
      <c r="F5" s="216" t="s">
        <v>439</v>
      </c>
      <c r="G5" s="216" t="s">
        <v>7</v>
      </c>
      <c r="H5" s="217" t="s">
        <v>440</v>
      </c>
      <c r="I5" s="213" t="s">
        <v>154</v>
      </c>
      <c r="J5" s="213" t="s">
        <v>156</v>
      </c>
      <c r="K5" s="213" t="s">
        <v>158</v>
      </c>
      <c r="L5" s="213" t="s">
        <v>170</v>
      </c>
      <c r="M5" s="213" t="s">
        <v>441</v>
      </c>
      <c r="N5" s="213" t="s">
        <v>442</v>
      </c>
      <c r="O5" s="213" t="s">
        <v>443</v>
      </c>
      <c r="P5" s="286" t="s">
        <v>444</v>
      </c>
      <c r="Q5" s="281" t="s">
        <v>7</v>
      </c>
      <c r="R5" s="282" t="s">
        <v>440</v>
      </c>
      <c r="S5" s="283" t="s">
        <v>154</v>
      </c>
      <c r="T5" s="283" t="s">
        <v>156</v>
      </c>
      <c r="U5" s="283" t="s">
        <v>158</v>
      </c>
      <c r="V5" s="283" t="s">
        <v>170</v>
      </c>
      <c r="W5" s="283" t="s">
        <v>441</v>
      </c>
      <c r="X5" s="283" t="s">
        <v>442</v>
      </c>
      <c r="Y5" s="283" t="s">
        <v>443</v>
      </c>
    </row>
    <row r="6" spans="1:28">
      <c r="A6" s="219">
        <v>15</v>
      </c>
      <c r="B6" s="162">
        <v>228</v>
      </c>
      <c r="C6" s="162">
        <v>5</v>
      </c>
      <c r="D6" s="162" t="s">
        <v>17</v>
      </c>
      <c r="E6" s="162" t="s">
        <v>18</v>
      </c>
      <c r="F6" s="219">
        <v>15</v>
      </c>
      <c r="G6" s="162" t="s">
        <v>45</v>
      </c>
      <c r="H6" s="211" t="s">
        <v>46</v>
      </c>
      <c r="I6" s="269">
        <f>S6</f>
        <v>30.24</v>
      </c>
      <c r="J6" s="269"/>
      <c r="K6" s="269"/>
      <c r="L6" s="269"/>
      <c r="M6" s="269"/>
      <c r="N6" s="269"/>
      <c r="O6" s="220"/>
      <c r="P6" s="313" t="s">
        <v>445</v>
      </c>
      <c r="Q6" s="286" t="str">
        <f>G6</f>
        <v>00500C</v>
      </c>
      <c r="R6" s="309" t="str">
        <f>H6</f>
        <v>Asphalt Raker</v>
      </c>
      <c r="S6" s="321">
        <f t="shared" ref="S6:S41" si="0">ROUND(IF($P6="Y",((VLOOKUP($Q6,Rates2020,3,0)+LIUNA2021)*PercIncr2021)-LIUNA2021,VLOOKUP($Q6,Rates2020,3,0)),3)</f>
        <v>30.24</v>
      </c>
      <c r="T6" s="321"/>
      <c r="U6" s="321"/>
      <c r="V6" s="322"/>
      <c r="W6" s="321"/>
      <c r="X6" s="321"/>
      <c r="Y6" s="321"/>
      <c r="Z6" s="342"/>
      <c r="AA6" s="343"/>
      <c r="AB6" s="343"/>
    </row>
    <row r="7" spans="1:28">
      <c r="A7" s="219" t="s">
        <v>319</v>
      </c>
      <c r="B7" s="162">
        <v>228</v>
      </c>
      <c r="C7" s="162">
        <v>5</v>
      </c>
      <c r="D7" s="162" t="s">
        <v>17</v>
      </c>
      <c r="E7" s="162" t="s">
        <v>18</v>
      </c>
      <c r="F7" s="219" t="s">
        <v>19</v>
      </c>
      <c r="G7" s="162" t="s">
        <v>21</v>
      </c>
      <c r="H7" s="211" t="s">
        <v>22</v>
      </c>
      <c r="I7" s="269">
        <f t="shared" ref="I7:O50" si="1">S7</f>
        <v>26.34</v>
      </c>
      <c r="J7" s="269">
        <f t="shared" si="1"/>
        <v>27.164000000000001</v>
      </c>
      <c r="K7" s="269">
        <f t="shared" si="1"/>
        <v>28.013999999999999</v>
      </c>
      <c r="L7" s="269">
        <f t="shared" si="1"/>
        <v>28.888999999999999</v>
      </c>
      <c r="M7" s="269"/>
      <c r="N7" s="269"/>
      <c r="O7" s="220"/>
      <c r="P7" s="312" t="s">
        <v>445</v>
      </c>
      <c r="Q7" s="286" t="str">
        <f t="shared" ref="Q7:R52" si="2">G7</f>
        <v>00505C</v>
      </c>
      <c r="R7" s="309" t="str">
        <f t="shared" si="2"/>
        <v>Asphalt Raker Apprentice I (1st 522 hours)</v>
      </c>
      <c r="S7" s="321">
        <f t="shared" si="0"/>
        <v>26.34</v>
      </c>
      <c r="T7" s="321">
        <f>ROUND(IF($P7="Y",((VLOOKUP($Q7,Rates2020,4,0)+LIUNA2021)*PercIncr2021)-LIUNA2021,VLOOKUP($Q7,Rates2020,4,0)),3)</f>
        <v>27.164000000000001</v>
      </c>
      <c r="U7" s="321">
        <f>ROUND(IF($P7="Y",((VLOOKUP($Q7,Rates2020,5,0)+LIUNA2021)*PercIncr2021)-LIUNA2021,VLOOKUP($Q7,Rates2020,5,0)),3)</f>
        <v>28.013999999999999</v>
      </c>
      <c r="V7" s="321">
        <f>ROUND(IF($P7="Y",((VLOOKUP($Q7,Rates2020,6,0)+LIUNA2021)*PercIncr2021)-LIUNA2021,VLOOKUP($Q7,Rates2020,6,0)),3)</f>
        <v>28.888999999999999</v>
      </c>
      <c r="W7" s="321"/>
      <c r="X7" s="321"/>
      <c r="Y7" s="321"/>
    </row>
    <row r="8" spans="1:28">
      <c r="A8" s="219" t="s">
        <v>321</v>
      </c>
      <c r="B8" s="162">
        <v>228</v>
      </c>
      <c r="C8" s="162">
        <v>5</v>
      </c>
      <c r="D8" s="162" t="s">
        <v>17</v>
      </c>
      <c r="E8" s="162" t="s">
        <v>18</v>
      </c>
      <c r="F8" s="219" t="s">
        <v>19</v>
      </c>
      <c r="G8" s="162" t="s">
        <v>25</v>
      </c>
      <c r="H8" s="211" t="s">
        <v>26</v>
      </c>
      <c r="I8" s="269">
        <f t="shared" si="1"/>
        <v>26.780999999999999</v>
      </c>
      <c r="J8" s="269">
        <f t="shared" si="1"/>
        <v>27.606000000000002</v>
      </c>
      <c r="K8" s="269">
        <f t="shared" si="1"/>
        <v>28.454999999999998</v>
      </c>
      <c r="L8" s="269">
        <f t="shared" si="1"/>
        <v>29.33</v>
      </c>
      <c r="M8" s="269"/>
      <c r="N8" s="269"/>
      <c r="O8" s="220"/>
      <c r="P8" s="312" t="s">
        <v>445</v>
      </c>
      <c r="Q8" s="286" t="str">
        <f t="shared" si="2"/>
        <v>00507C</v>
      </c>
      <c r="R8" s="309" t="str">
        <f t="shared" si="2"/>
        <v>Asphalt Raker Apprentice II (2nd 522 hours)</v>
      </c>
      <c r="S8" s="321">
        <f t="shared" si="0"/>
        <v>26.780999999999999</v>
      </c>
      <c r="T8" s="321">
        <f>ROUND(IF($P8="Y",((VLOOKUP($Q8,Rates2020,4,0)+LIUNA2021)*PercIncr2021)-LIUNA2021,VLOOKUP($Q8,Rates2020,4,0)),3)</f>
        <v>27.606000000000002</v>
      </c>
      <c r="U8" s="321">
        <f>ROUND(IF($P8="Y",((VLOOKUP($Q8,Rates2020,5,0)+LIUNA2021)*PercIncr2021)-LIUNA2021,VLOOKUP($Q8,Rates2020,5,0)),3)</f>
        <v>28.454999999999998</v>
      </c>
      <c r="V8" s="321">
        <f>ROUND(IF($P8="Y",((VLOOKUP($Q8,Rates2020,6,0)+LIUNA2021)*PercIncr2021)-LIUNA2021,VLOOKUP($Q8,Rates2020,6,0)),3)</f>
        <v>29.33</v>
      </c>
      <c r="W8" s="321"/>
      <c r="X8" s="321"/>
      <c r="Y8" s="321"/>
    </row>
    <row r="9" spans="1:28">
      <c r="A9" s="219" t="s">
        <v>47</v>
      </c>
      <c r="B9" s="162">
        <v>178</v>
      </c>
      <c r="C9" s="162">
        <v>3</v>
      </c>
      <c r="D9" s="162" t="s">
        <v>17</v>
      </c>
      <c r="E9" s="162" t="s">
        <v>18</v>
      </c>
      <c r="F9" s="219" t="s">
        <v>47</v>
      </c>
      <c r="G9" s="162" t="s">
        <v>48</v>
      </c>
      <c r="H9" s="211" t="s">
        <v>49</v>
      </c>
      <c r="I9" s="269">
        <f t="shared" si="1"/>
        <v>15.865</v>
      </c>
      <c r="J9" s="269">
        <f t="shared" si="1"/>
        <v>18.47</v>
      </c>
      <c r="K9" s="269">
        <f t="shared" si="1"/>
        <v>19.536000000000001</v>
      </c>
      <c r="L9" s="269">
        <f t="shared" si="1"/>
        <v>24.567</v>
      </c>
      <c r="M9" s="269"/>
      <c r="N9" s="269"/>
      <c r="O9" s="220"/>
      <c r="P9" s="313" t="s">
        <v>445</v>
      </c>
      <c r="Q9" s="286" t="str">
        <f t="shared" si="2"/>
        <v>01060C</v>
      </c>
      <c r="R9" s="309" t="str">
        <f t="shared" si="2"/>
        <v>Attendant Impound Lot</v>
      </c>
      <c r="S9" s="321">
        <f t="shared" si="0"/>
        <v>15.865</v>
      </c>
      <c r="T9" s="321">
        <f>ROUND(IF($P9="Y",((VLOOKUP($Q9,Rates2020,4,0)+LIUNA2021)*PercIncr2021)-LIUNA2021,VLOOKUP($Q9,Rates2020,4,0)),3)</f>
        <v>18.47</v>
      </c>
      <c r="U9" s="321">
        <f>ROUND(IF($P9="Y",((VLOOKUP($Q9,Rates2020,5,0)+LIUNA2021)*PercIncr2021)-LIUNA2021,VLOOKUP($Q9,Rates2020,5,0)),3)</f>
        <v>19.536000000000001</v>
      </c>
      <c r="V9" s="321">
        <f>ROUND(IF($P9="Y",((VLOOKUP($Q9,Rates2020,6,0)+LIUNA2021)*PercIncr2021)-LIUNA2021,VLOOKUP($Q9,Rates2020,6,0)),3)</f>
        <v>24.567</v>
      </c>
      <c r="W9" s="321"/>
      <c r="X9" s="321"/>
      <c r="Y9" s="321"/>
    </row>
    <row r="10" spans="1:28">
      <c r="A10" s="219">
        <v>18</v>
      </c>
      <c r="B10" s="162">
        <v>280</v>
      </c>
      <c r="C10" s="162">
        <v>6</v>
      </c>
      <c r="D10" s="162" t="s">
        <v>17</v>
      </c>
      <c r="E10" s="162" t="s">
        <v>18</v>
      </c>
      <c r="F10" s="219">
        <v>18</v>
      </c>
      <c r="G10" s="162" t="s">
        <v>50</v>
      </c>
      <c r="H10" s="211" t="s">
        <v>51</v>
      </c>
      <c r="I10" s="269">
        <f t="shared" si="1"/>
        <v>33.881</v>
      </c>
      <c r="J10" s="269"/>
      <c r="K10" s="269"/>
      <c r="L10" s="269"/>
      <c r="M10" s="269"/>
      <c r="N10" s="269"/>
      <c r="O10" s="220"/>
      <c r="P10" s="313" t="s">
        <v>445</v>
      </c>
      <c r="Q10" s="286" t="str">
        <f t="shared" si="2"/>
        <v>01570C</v>
      </c>
      <c r="R10" s="309" t="str">
        <f t="shared" si="2"/>
        <v>Cement Finisher Journeyman</v>
      </c>
      <c r="S10" s="321">
        <f t="shared" si="0"/>
        <v>33.881</v>
      </c>
      <c r="T10" s="321"/>
      <c r="U10" s="321"/>
      <c r="V10" s="322"/>
      <c r="W10" s="321"/>
      <c r="X10" s="321"/>
      <c r="Y10" s="321"/>
    </row>
    <row r="11" spans="1:28">
      <c r="A11" s="219" t="s">
        <v>321</v>
      </c>
      <c r="B11" s="162">
        <v>280</v>
      </c>
      <c r="C11" s="162">
        <v>6</v>
      </c>
      <c r="D11" s="162" t="s">
        <v>17</v>
      </c>
      <c r="E11" s="162" t="s">
        <v>18</v>
      </c>
      <c r="F11" s="219" t="s">
        <v>19</v>
      </c>
      <c r="G11" s="162" t="s">
        <v>31</v>
      </c>
      <c r="H11" s="211" t="s">
        <v>32</v>
      </c>
      <c r="I11" s="269">
        <f t="shared" si="1"/>
        <v>26.780999999999999</v>
      </c>
      <c r="J11" s="269">
        <f t="shared" si="1"/>
        <v>27.606000000000002</v>
      </c>
      <c r="K11" s="269">
        <f t="shared" si="1"/>
        <v>28.454999999999998</v>
      </c>
      <c r="L11" s="269">
        <f t="shared" si="1"/>
        <v>29.33</v>
      </c>
      <c r="M11" s="269"/>
      <c r="N11" s="269"/>
      <c r="O11" s="220"/>
      <c r="P11" s="313" t="s">
        <v>445</v>
      </c>
      <c r="Q11" s="286" t="str">
        <f t="shared" si="2"/>
        <v>01585C</v>
      </c>
      <c r="R11" s="309" t="str">
        <f t="shared" si="2"/>
        <v>Cement Finisher Apprentice I (1st 174 hours)</v>
      </c>
      <c r="S11" s="321">
        <f t="shared" si="0"/>
        <v>26.780999999999999</v>
      </c>
      <c r="T11" s="321">
        <f>ROUND(IF($P11="Y",((VLOOKUP($Q11,Rates2020,4,0)+LIUNA2021)*PercIncr2021)-LIUNA2021,VLOOKUP($Q11,Rates2020,4,0)),3)</f>
        <v>27.606000000000002</v>
      </c>
      <c r="U11" s="321">
        <f>ROUND(IF($P11="Y",((VLOOKUP($Q11,Rates2020,5,0)+LIUNA2021)*PercIncr2021)-LIUNA2021,VLOOKUP($Q11,Rates2020,5,0)),3)</f>
        <v>28.454999999999998</v>
      </c>
      <c r="V11" s="321">
        <f>ROUND(IF($P11="Y",((VLOOKUP($Q11,Rates2020,6,0)+LIUNA2021)*PercIncr2021)-LIUNA2021,VLOOKUP($Q11,Rates2020,6,0)),3)</f>
        <v>29.33</v>
      </c>
      <c r="W11" s="321"/>
      <c r="X11" s="321"/>
      <c r="Y11" s="321"/>
    </row>
    <row r="12" spans="1:28">
      <c r="A12" s="219" t="s">
        <v>322</v>
      </c>
      <c r="B12" s="162">
        <v>280</v>
      </c>
      <c r="C12" s="162">
        <v>6</v>
      </c>
      <c r="D12" s="162" t="s">
        <v>17</v>
      </c>
      <c r="E12" s="162" t="s">
        <v>18</v>
      </c>
      <c r="F12" s="219" t="s">
        <v>19</v>
      </c>
      <c r="G12" s="162" t="s">
        <v>35</v>
      </c>
      <c r="H12" s="211" t="s">
        <v>36</v>
      </c>
      <c r="I12" s="269">
        <f t="shared" si="1"/>
        <v>27.158999999999999</v>
      </c>
      <c r="J12" s="269">
        <f t="shared" si="1"/>
        <v>27.984000000000002</v>
      </c>
      <c r="K12" s="269">
        <f t="shared" si="1"/>
        <v>28.832999999999998</v>
      </c>
      <c r="L12" s="269">
        <f t="shared" si="1"/>
        <v>29.707999999999998</v>
      </c>
      <c r="M12" s="269"/>
      <c r="N12" s="269"/>
      <c r="O12" s="220"/>
      <c r="P12" s="313" t="s">
        <v>445</v>
      </c>
      <c r="Q12" s="286" t="str">
        <f t="shared" si="2"/>
        <v>01586C</v>
      </c>
      <c r="R12" s="309" t="str">
        <f t="shared" si="2"/>
        <v>Cement Finisher Apprentice II (Next 696 hours)</v>
      </c>
      <c r="S12" s="321">
        <f t="shared" si="0"/>
        <v>27.158999999999999</v>
      </c>
      <c r="T12" s="321">
        <f>ROUND(IF($P12="Y",((VLOOKUP($Q12,Rates2020,4,0)+LIUNA2021)*PercIncr2021)-LIUNA2021,VLOOKUP($Q12,Rates2020,4,0)),3)</f>
        <v>27.984000000000002</v>
      </c>
      <c r="U12" s="321">
        <f>ROUND(IF($P12="Y",((VLOOKUP($Q12,Rates2020,5,0)+LIUNA2021)*PercIncr2021)-LIUNA2021,VLOOKUP($Q12,Rates2020,5,0)),3)</f>
        <v>28.832999999999998</v>
      </c>
      <c r="V12" s="321">
        <f>ROUND(IF($P12="Y",((VLOOKUP($Q12,Rates2020,6,0)+LIUNA2021)*PercIncr2021)-LIUNA2021,VLOOKUP($Q12,Rates2020,6,0)),3)</f>
        <v>29.707999999999998</v>
      </c>
      <c r="W12" s="321"/>
      <c r="X12" s="321"/>
      <c r="Y12" s="321"/>
    </row>
    <row r="13" spans="1:28">
      <c r="A13" s="219" t="s">
        <v>323</v>
      </c>
      <c r="B13" s="162">
        <v>280</v>
      </c>
      <c r="C13" s="162">
        <v>6</v>
      </c>
      <c r="D13" s="162" t="s">
        <v>17</v>
      </c>
      <c r="E13" s="162" t="s">
        <v>18</v>
      </c>
      <c r="F13" s="219" t="s">
        <v>19</v>
      </c>
      <c r="G13" s="162" t="s">
        <v>39</v>
      </c>
      <c r="H13" s="211" t="s">
        <v>40</v>
      </c>
      <c r="I13" s="269">
        <f t="shared" si="1"/>
        <v>28.356000000000002</v>
      </c>
      <c r="J13" s="269">
        <f t="shared" si="1"/>
        <v>29.181000000000001</v>
      </c>
      <c r="K13" s="269">
        <f t="shared" si="1"/>
        <v>30.030999999999999</v>
      </c>
      <c r="L13" s="269">
        <f t="shared" si="1"/>
        <v>30.905999999999999</v>
      </c>
      <c r="M13" s="269"/>
      <c r="N13" s="269"/>
      <c r="O13" s="220"/>
      <c r="P13" s="313" t="s">
        <v>445</v>
      </c>
      <c r="Q13" s="286" t="str">
        <f t="shared" si="2"/>
        <v>01587C</v>
      </c>
      <c r="R13" s="309" t="str">
        <f t="shared" si="2"/>
        <v>Cement Finisher Apprentice III (Next 696 hours)</v>
      </c>
      <c r="S13" s="321">
        <f t="shared" si="0"/>
        <v>28.356000000000002</v>
      </c>
      <c r="T13" s="321">
        <f>ROUND(IF($P13="Y",((VLOOKUP($Q13,Rates2020,4,0)+LIUNA2021)*PercIncr2021)-LIUNA2021,VLOOKUP($Q13,Rates2020,4,0)),3)</f>
        <v>29.181000000000001</v>
      </c>
      <c r="U13" s="321">
        <f>ROUND(IF($P13="Y",((VLOOKUP($Q13,Rates2020,5,0)+LIUNA2021)*PercIncr2021)-LIUNA2021,VLOOKUP($Q13,Rates2020,5,0)),3)</f>
        <v>30.030999999999999</v>
      </c>
      <c r="V13" s="321">
        <f>ROUND(IF($P13="Y",((VLOOKUP($Q13,Rates2020,6,0)+LIUNA2021)*PercIncr2021)-LIUNA2021,VLOOKUP($Q13,Rates2020,6,0)),3)</f>
        <v>30.905999999999999</v>
      </c>
      <c r="W13" s="321"/>
      <c r="X13" s="321"/>
      <c r="Y13" s="321"/>
    </row>
    <row r="14" spans="1:28">
      <c r="A14" s="219" t="s">
        <v>324</v>
      </c>
      <c r="B14" s="162">
        <v>280</v>
      </c>
      <c r="C14" s="162">
        <v>6</v>
      </c>
      <c r="D14" s="162" t="s">
        <v>17</v>
      </c>
      <c r="E14" s="162" t="s">
        <v>18</v>
      </c>
      <c r="F14" s="219" t="s">
        <v>19</v>
      </c>
      <c r="G14" s="162" t="s">
        <v>42</v>
      </c>
      <c r="H14" s="211" t="s">
        <v>43</v>
      </c>
      <c r="I14" s="269">
        <f t="shared" si="1"/>
        <v>29.302</v>
      </c>
      <c r="J14" s="269">
        <f t="shared" si="1"/>
        <v>30.126999999999999</v>
      </c>
      <c r="K14" s="269">
        <f t="shared" si="1"/>
        <v>30.975999999999999</v>
      </c>
      <c r="L14" s="269">
        <f t="shared" si="1"/>
        <v>31.850999999999999</v>
      </c>
      <c r="M14" s="269"/>
      <c r="N14" s="269"/>
      <c r="O14" s="220"/>
      <c r="P14" s="313" t="s">
        <v>445</v>
      </c>
      <c r="Q14" s="286" t="str">
        <f t="shared" si="2"/>
        <v>01588C</v>
      </c>
      <c r="R14" s="309" t="str">
        <f t="shared" si="2"/>
        <v>Cement Finisher Apprentice IV (Next 696 hours)</v>
      </c>
      <c r="S14" s="321">
        <f t="shared" si="0"/>
        <v>29.302</v>
      </c>
      <c r="T14" s="321">
        <f>ROUND(IF($P14="Y",((VLOOKUP($Q14,Rates2020,4,0)+LIUNA2021)*PercIncr2021)-LIUNA2021,VLOOKUP($Q14,Rates2020,4,0)),3)</f>
        <v>30.126999999999999</v>
      </c>
      <c r="U14" s="321">
        <f>ROUND(IF($P14="Y",((VLOOKUP($Q14,Rates2020,5,0)+LIUNA2021)*PercIncr2021)-LIUNA2021,VLOOKUP($Q14,Rates2020,5,0)),3)</f>
        <v>30.975999999999999</v>
      </c>
      <c r="V14" s="321">
        <f>ROUND(IF($P14="Y",((VLOOKUP($Q14,Rates2020,6,0)+LIUNA2021)*PercIncr2021)-LIUNA2021,VLOOKUP($Q14,Rates2020,6,0)),3)</f>
        <v>31.850999999999999</v>
      </c>
      <c r="W14" s="321"/>
      <c r="X14" s="321"/>
      <c r="Y14" s="321"/>
    </row>
    <row r="15" spans="1:28">
      <c r="A15" s="219" t="s">
        <v>52</v>
      </c>
      <c r="B15" s="162">
        <v>188</v>
      </c>
      <c r="C15" s="162">
        <v>4</v>
      </c>
      <c r="D15" s="162" t="s">
        <v>17</v>
      </c>
      <c r="E15" s="162" t="s">
        <v>18</v>
      </c>
      <c r="F15" s="219" t="s">
        <v>52</v>
      </c>
      <c r="G15" s="162" t="s">
        <v>53</v>
      </c>
      <c r="H15" s="211" t="s">
        <v>54</v>
      </c>
      <c r="I15" s="269">
        <f t="shared" si="1"/>
        <v>19.13</v>
      </c>
      <c r="J15" s="269">
        <f t="shared" si="1"/>
        <v>21.96</v>
      </c>
      <c r="K15" s="269">
        <f t="shared" si="1"/>
        <v>26.591000000000001</v>
      </c>
      <c r="L15" s="269"/>
      <c r="M15" s="269"/>
      <c r="N15" s="269"/>
      <c r="O15" s="220"/>
      <c r="P15" s="313" t="s">
        <v>445</v>
      </c>
      <c r="Q15" s="286" t="str">
        <f t="shared" si="2"/>
        <v>02616C</v>
      </c>
      <c r="R15" s="309" t="str">
        <f t="shared" si="2"/>
        <v>Constr Maint Labor WU Shop-C</v>
      </c>
      <c r="S15" s="321">
        <f t="shared" si="0"/>
        <v>19.13</v>
      </c>
      <c r="T15" s="321">
        <f>ROUND(IF($P15="Y",((VLOOKUP($Q15,Rates2020,4,0)+LIUNA2021)*PercIncr2021)-LIUNA2021,VLOOKUP($Q15,Rates2020,4,0)),3)</f>
        <v>21.96</v>
      </c>
      <c r="U15" s="321">
        <f>ROUND(IF($P15="Y",((VLOOKUP($Q15,Rates2020,5,0)+LIUNA2021)*PercIncr2021)-LIUNA2021,VLOOKUP($Q15,Rates2020,5,0)),3)</f>
        <v>26.591000000000001</v>
      </c>
      <c r="V15" s="321"/>
      <c r="W15" s="321"/>
      <c r="X15" s="321"/>
      <c r="Y15" s="321"/>
    </row>
    <row r="16" spans="1:28">
      <c r="A16" s="219" t="s">
        <v>332</v>
      </c>
      <c r="B16" s="162">
        <v>273</v>
      </c>
      <c r="C16" s="162">
        <v>6</v>
      </c>
      <c r="D16" s="162" t="s">
        <v>17</v>
      </c>
      <c r="E16" s="162" t="s">
        <v>18</v>
      </c>
      <c r="F16" s="219"/>
      <c r="G16" s="162" t="s">
        <v>377</v>
      </c>
      <c r="H16" s="211" t="s">
        <v>378</v>
      </c>
      <c r="I16" s="269">
        <f t="shared" si="1"/>
        <v>30.783999999999999</v>
      </c>
      <c r="J16" s="269"/>
      <c r="K16" s="269"/>
      <c r="L16" s="269"/>
      <c r="M16" s="269"/>
      <c r="N16" s="269"/>
      <c r="O16" s="220"/>
      <c r="P16" s="312" t="s">
        <v>445</v>
      </c>
      <c r="Q16" s="286" t="str">
        <f t="shared" si="2"/>
        <v>52921C</v>
      </c>
      <c r="R16" s="309" t="str">
        <f t="shared" si="2"/>
        <v>Construction Crew Leader</v>
      </c>
      <c r="S16" s="321">
        <f t="shared" si="0"/>
        <v>30.783999999999999</v>
      </c>
      <c r="T16" s="322"/>
      <c r="U16" s="322"/>
      <c r="V16" s="321"/>
      <c r="W16" s="321"/>
      <c r="X16" s="321"/>
      <c r="Y16" s="321"/>
      <c r="Z16" s="219"/>
    </row>
    <row r="17" spans="1:25">
      <c r="A17" s="219" t="s">
        <v>52</v>
      </c>
      <c r="B17" s="162">
        <v>188</v>
      </c>
      <c r="C17" s="162">
        <v>4</v>
      </c>
      <c r="D17" s="162" t="s">
        <v>17</v>
      </c>
      <c r="E17" s="162" t="s">
        <v>18</v>
      </c>
      <c r="F17" s="219" t="s">
        <v>52</v>
      </c>
      <c r="G17" s="162" t="s">
        <v>56</v>
      </c>
      <c r="H17" s="211" t="s">
        <v>57</v>
      </c>
      <c r="I17" s="269">
        <f t="shared" si="1"/>
        <v>19.13</v>
      </c>
      <c r="J17" s="269">
        <f t="shared" si="1"/>
        <v>21.96</v>
      </c>
      <c r="K17" s="269">
        <f t="shared" si="1"/>
        <v>26.591000000000001</v>
      </c>
      <c r="L17" s="269"/>
      <c r="M17" s="269"/>
      <c r="N17" s="269"/>
      <c r="O17" s="220"/>
      <c r="P17" s="313" t="s">
        <v>445</v>
      </c>
      <c r="Q17" s="286" t="str">
        <f t="shared" si="2"/>
        <v>02610C</v>
      </c>
      <c r="R17" s="309" t="str">
        <f t="shared" si="2"/>
        <v>Construction Maint Laborer</v>
      </c>
      <c r="S17" s="321">
        <f t="shared" si="0"/>
        <v>19.13</v>
      </c>
      <c r="T17" s="321">
        <f>ROUND(IF($P17="Y",((VLOOKUP($Q17,Rates2020,4,0)+LIUNA2021)*PercIncr2021)-LIUNA2021,VLOOKUP($Q17,Rates2020,4,0)),3)</f>
        <v>21.96</v>
      </c>
      <c r="U17" s="321">
        <f>ROUND(IF($P17="Y",((VLOOKUP($Q17,Rates2020,5,0)+LIUNA2021)*PercIncr2021)-LIUNA2021,VLOOKUP($Q17,Rates2020,5,0)),3)</f>
        <v>26.591000000000001</v>
      </c>
      <c r="V17" s="322"/>
      <c r="W17" s="321"/>
      <c r="X17" s="321"/>
      <c r="Y17" s="321"/>
    </row>
    <row r="18" spans="1:25">
      <c r="A18" s="219" t="s">
        <v>47</v>
      </c>
      <c r="B18" s="162">
        <v>153</v>
      </c>
      <c r="C18" s="162">
        <v>3</v>
      </c>
      <c r="D18" s="162" t="s">
        <v>17</v>
      </c>
      <c r="E18" s="162" t="s">
        <v>18</v>
      </c>
      <c r="F18" s="219" t="s">
        <v>47</v>
      </c>
      <c r="G18" s="162" t="s">
        <v>58</v>
      </c>
      <c r="H18" s="211" t="s">
        <v>59</v>
      </c>
      <c r="I18" s="269">
        <f t="shared" si="1"/>
        <v>15.865</v>
      </c>
      <c r="J18" s="269">
        <f t="shared" si="1"/>
        <v>18.47</v>
      </c>
      <c r="K18" s="269">
        <f t="shared" si="1"/>
        <v>19.536000000000001</v>
      </c>
      <c r="L18" s="269">
        <f t="shared" si="1"/>
        <v>24.567</v>
      </c>
      <c r="M18" s="269"/>
      <c r="N18" s="269"/>
      <c r="O18" s="220"/>
      <c r="P18" s="313" t="s">
        <v>445</v>
      </c>
      <c r="Q18" s="286" t="str">
        <f t="shared" si="2"/>
        <v>05850C</v>
      </c>
      <c r="R18" s="309" t="str">
        <f t="shared" si="2"/>
        <v>Custodian Property Services</v>
      </c>
      <c r="S18" s="321">
        <f t="shared" si="0"/>
        <v>15.865</v>
      </c>
      <c r="T18" s="321">
        <f>ROUND(IF($P18="Y",((VLOOKUP($Q18,Rates2020,4,0)+LIUNA2021)*PercIncr2021)-LIUNA2021,VLOOKUP($Q18,Rates2020,4,0)),3)</f>
        <v>18.47</v>
      </c>
      <c r="U18" s="321">
        <f>ROUND(IF($P18="Y",((VLOOKUP($Q18,Rates2020,5,0)+LIUNA2021)*PercIncr2021)-LIUNA2021,VLOOKUP($Q18,Rates2020,5,0)),3)</f>
        <v>19.536000000000001</v>
      </c>
      <c r="V18" s="321">
        <f>ROUND(IF($P18="Y",((VLOOKUP($Q18,Rates2020,6,0)+LIUNA2021)*PercIncr2021)-LIUNA2021,VLOOKUP($Q18,Rates2020,6,0)),3)</f>
        <v>24.567</v>
      </c>
      <c r="W18" s="321"/>
      <c r="X18" s="321"/>
      <c r="Y18" s="321"/>
    </row>
    <row r="19" spans="1:25">
      <c r="A19" s="219" t="s">
        <v>47</v>
      </c>
      <c r="B19" s="162">
        <v>160</v>
      </c>
      <c r="C19" s="162">
        <v>3</v>
      </c>
      <c r="D19" s="162" t="s">
        <v>17</v>
      </c>
      <c r="E19" s="162" t="s">
        <v>18</v>
      </c>
      <c r="F19" s="219" t="s">
        <v>47</v>
      </c>
      <c r="G19" s="162" t="s">
        <v>60</v>
      </c>
      <c r="H19" s="211" t="s">
        <v>61</v>
      </c>
      <c r="I19" s="269">
        <f t="shared" si="1"/>
        <v>15.865</v>
      </c>
      <c r="J19" s="269">
        <f t="shared" si="1"/>
        <v>18.47</v>
      </c>
      <c r="K19" s="269">
        <f t="shared" si="1"/>
        <v>19.536000000000001</v>
      </c>
      <c r="L19" s="269">
        <f t="shared" si="1"/>
        <v>24.567</v>
      </c>
      <c r="M19" s="269"/>
      <c r="N19" s="269"/>
      <c r="O19" s="220"/>
      <c r="P19" s="313" t="s">
        <v>445</v>
      </c>
      <c r="Q19" s="286" t="str">
        <f t="shared" si="2"/>
        <v>02960C</v>
      </c>
      <c r="R19" s="309" t="str">
        <f t="shared" si="2"/>
        <v>Delivery Worker</v>
      </c>
      <c r="S19" s="321">
        <f t="shared" si="0"/>
        <v>15.865</v>
      </c>
      <c r="T19" s="321">
        <f>ROUND(IF($P19="Y",((VLOOKUP($Q19,Rates2020,4,0)+LIUNA2021)*PercIncr2021)-LIUNA2021,VLOOKUP($Q19,Rates2020,4,0)),3)</f>
        <v>18.47</v>
      </c>
      <c r="U19" s="321">
        <f>ROUND(IF($P19="Y",((VLOOKUP($Q19,Rates2020,5,0)+LIUNA2021)*PercIncr2021)-LIUNA2021,VLOOKUP($Q19,Rates2020,5,0)),3)</f>
        <v>19.536000000000001</v>
      </c>
      <c r="V19" s="321">
        <f>ROUND(IF($P19="Y",((VLOOKUP($Q19,Rates2020,6,0)+LIUNA2021)*PercIncr2021)-LIUNA2021,VLOOKUP($Q19,Rates2020,6,0)),3)</f>
        <v>24.567</v>
      </c>
      <c r="W19" s="321"/>
      <c r="X19" s="321"/>
      <c r="Y19" s="321"/>
    </row>
    <row r="20" spans="1:25">
      <c r="A20" s="219" t="s">
        <v>62</v>
      </c>
      <c r="B20" s="162">
        <v>190</v>
      </c>
      <c r="C20" s="162">
        <v>4</v>
      </c>
      <c r="D20" s="162" t="s">
        <v>17</v>
      </c>
      <c r="E20" s="162" t="s">
        <v>18</v>
      </c>
      <c r="F20" s="219" t="s">
        <v>62</v>
      </c>
      <c r="G20" s="162" t="s">
        <v>63</v>
      </c>
      <c r="H20" s="211" t="s">
        <v>64</v>
      </c>
      <c r="I20" s="269">
        <f t="shared" si="1"/>
        <v>16.364999999999998</v>
      </c>
      <c r="J20" s="269">
        <f t="shared" si="1"/>
        <v>19.055</v>
      </c>
      <c r="K20" s="269">
        <f t="shared" si="1"/>
        <v>21.925000000000001</v>
      </c>
      <c r="L20" s="269">
        <f t="shared" si="1"/>
        <v>26.481000000000002</v>
      </c>
      <c r="M20" s="269"/>
      <c r="N20" s="269"/>
      <c r="O20" s="220"/>
      <c r="P20" s="313" t="s">
        <v>445</v>
      </c>
      <c r="Q20" s="286" t="str">
        <f t="shared" si="2"/>
        <v>04170C</v>
      </c>
      <c r="R20" s="309" t="str">
        <f t="shared" si="2"/>
        <v>Equipment Service Worker</v>
      </c>
      <c r="S20" s="321">
        <f t="shared" si="0"/>
        <v>16.364999999999998</v>
      </c>
      <c r="T20" s="321">
        <f>ROUND(IF($P20="Y",((VLOOKUP($Q20,Rates2020,4,0)+LIUNA2021)*PercIncr2021)-LIUNA2021,VLOOKUP($Q20,Rates2020,4,0)),3)</f>
        <v>19.055</v>
      </c>
      <c r="U20" s="321">
        <f>ROUND(IF($P20="Y",((VLOOKUP($Q20,Rates2020,5,0)+LIUNA2021)*PercIncr2021)-LIUNA2021,VLOOKUP($Q20,Rates2020,5,0)),3)</f>
        <v>21.925000000000001</v>
      </c>
      <c r="V20" s="321">
        <f>ROUND(IF($P20="Y",((VLOOKUP($Q20,Rates2020,6,0)+LIUNA2021)*PercIncr2021)-LIUNA2021,VLOOKUP($Q20,Rates2020,6,0)),3)</f>
        <v>26.481000000000002</v>
      </c>
      <c r="W20" s="321"/>
      <c r="X20" s="321"/>
      <c r="Y20" s="321"/>
    </row>
    <row r="21" spans="1:25">
      <c r="A21" s="219" t="s">
        <v>65</v>
      </c>
      <c r="B21" s="162">
        <v>263</v>
      </c>
      <c r="C21" s="162">
        <v>5</v>
      </c>
      <c r="D21" s="162" t="s">
        <v>17</v>
      </c>
      <c r="E21" s="162" t="s">
        <v>18</v>
      </c>
      <c r="F21" s="219" t="s">
        <v>65</v>
      </c>
      <c r="G21" s="162" t="s">
        <v>66</v>
      </c>
      <c r="H21" s="211" t="s">
        <v>67</v>
      </c>
      <c r="I21" s="269">
        <f t="shared" si="1"/>
        <v>25.539000000000001</v>
      </c>
      <c r="J21" s="269">
        <f t="shared" si="1"/>
        <v>26.398</v>
      </c>
      <c r="K21" s="269">
        <f t="shared" si="1"/>
        <v>27.286999999999999</v>
      </c>
      <c r="L21" s="269">
        <f t="shared" si="1"/>
        <v>28.384</v>
      </c>
      <c r="M21" s="269"/>
      <c r="N21" s="269"/>
      <c r="O21" s="220"/>
      <c r="P21" s="313" t="s">
        <v>445</v>
      </c>
      <c r="Q21" s="286" t="str">
        <f t="shared" si="2"/>
        <v>05958C</v>
      </c>
      <c r="R21" s="309" t="str">
        <f t="shared" si="2"/>
        <v>Lead Custodian Property Services</v>
      </c>
      <c r="S21" s="321">
        <f t="shared" si="0"/>
        <v>25.539000000000001</v>
      </c>
      <c r="T21" s="321">
        <f>ROUND(IF($P21="Y",((VLOOKUP($Q21,Rates2020,4,0)+LIUNA2021)*PercIncr2021)-LIUNA2021,VLOOKUP($Q21,Rates2020,4,0)),3)</f>
        <v>26.398</v>
      </c>
      <c r="U21" s="321">
        <f>ROUND(IF($P21="Y",((VLOOKUP($Q21,Rates2020,5,0)+LIUNA2021)*PercIncr2021)-LIUNA2021,VLOOKUP($Q21,Rates2020,5,0)),3)</f>
        <v>27.286999999999999</v>
      </c>
      <c r="V21" s="321">
        <f>ROUND(IF($P21="Y",((VLOOKUP($Q21,Rates2020,6,0)+LIUNA2021)*PercIncr2021)-LIUNA2021,VLOOKUP($Q21,Rates2020,6,0)),3)</f>
        <v>28.384</v>
      </c>
      <c r="W21" s="321"/>
      <c r="X21" s="321"/>
      <c r="Y21" s="321"/>
    </row>
    <row r="22" spans="1:25">
      <c r="A22" s="219">
        <v>11</v>
      </c>
      <c r="B22" s="162">
        <v>205</v>
      </c>
      <c r="C22" s="162">
        <v>4</v>
      </c>
      <c r="D22" s="162" t="s">
        <v>17</v>
      </c>
      <c r="E22" s="162" t="s">
        <v>18</v>
      </c>
      <c r="F22" s="219">
        <v>11</v>
      </c>
      <c r="G22" s="162" t="s">
        <v>68</v>
      </c>
      <c r="H22" s="211" t="s">
        <v>325</v>
      </c>
      <c r="I22" s="269">
        <f t="shared" si="1"/>
        <v>28.997</v>
      </c>
      <c r="J22" s="269"/>
      <c r="K22" s="269"/>
      <c r="L22" s="269"/>
      <c r="M22" s="269"/>
      <c r="N22" s="269"/>
      <c r="O22" s="220"/>
      <c r="P22" s="312" t="s">
        <v>445</v>
      </c>
      <c r="Q22" s="286" t="str">
        <f t="shared" si="2"/>
        <v>06030C</v>
      </c>
      <c r="R22" s="309" t="str">
        <f t="shared" si="2"/>
        <v>Lead Pipe Layer I (Paving Const.)</v>
      </c>
      <c r="S22" s="321">
        <f t="shared" si="0"/>
        <v>28.997</v>
      </c>
      <c r="T22" s="321"/>
      <c r="U22" s="321"/>
      <c r="V22" s="321"/>
      <c r="W22" s="321"/>
      <c r="X22" s="321"/>
      <c r="Y22" s="321"/>
    </row>
    <row r="23" spans="1:25">
      <c r="A23" s="219" t="s">
        <v>319</v>
      </c>
      <c r="B23" s="162">
        <v>205</v>
      </c>
      <c r="C23" s="162">
        <v>4</v>
      </c>
      <c r="D23" s="162" t="s">
        <v>17</v>
      </c>
      <c r="E23" s="162" t="s">
        <v>18</v>
      </c>
      <c r="F23" s="219" t="s">
        <v>19</v>
      </c>
      <c r="G23" s="162" t="s">
        <v>71</v>
      </c>
      <c r="H23" s="223" t="s">
        <v>379</v>
      </c>
      <c r="I23" s="269">
        <f t="shared" si="1"/>
        <v>26.34</v>
      </c>
      <c r="J23" s="269">
        <f t="shared" si="1"/>
        <v>27.164000000000001</v>
      </c>
      <c r="K23" s="269">
        <f t="shared" si="1"/>
        <v>28.013999999999999</v>
      </c>
      <c r="L23" s="269">
        <f t="shared" si="1"/>
        <v>28.888999999999999</v>
      </c>
      <c r="M23" s="269"/>
      <c r="N23" s="269"/>
      <c r="O23" s="220"/>
      <c r="P23" s="312" t="s">
        <v>445</v>
      </c>
      <c r="Q23" s="286" t="str">
        <f t="shared" si="2"/>
        <v>06035C</v>
      </c>
      <c r="R23" s="309" t="str">
        <f t="shared" si="2"/>
        <v>Lead Pipe Layer I (Paving Const.) Apprentice I (1st 522 hours)</v>
      </c>
      <c r="S23" s="321">
        <f t="shared" si="0"/>
        <v>26.34</v>
      </c>
      <c r="T23" s="321">
        <f>ROUND(IF($P23="Y",((VLOOKUP($Q23,Rates2020,4,0)+LIUNA2021)*PercIncr2021)-LIUNA2021,VLOOKUP($Q23,Rates2020,4,0)),3)</f>
        <v>27.164000000000001</v>
      </c>
      <c r="U23" s="321">
        <f>ROUND(IF($P23="Y",((VLOOKUP($Q23,Rates2020,5,0)+LIUNA2021)*PercIncr2021)-LIUNA2021,VLOOKUP($Q23,Rates2020,5,0)),3)</f>
        <v>28.013999999999999</v>
      </c>
      <c r="V23" s="321">
        <f>ROUND(IF($P23="Y",((VLOOKUP($Q23,Rates2020,6,0)+LIUNA2021)*PercIncr2021)-LIUNA2021,VLOOKUP($Q23,Rates2020,6,0)),3)</f>
        <v>28.888999999999999</v>
      </c>
      <c r="W23" s="321"/>
      <c r="X23" s="321"/>
      <c r="Y23" s="321"/>
    </row>
    <row r="24" spans="1:25">
      <c r="A24" s="219" t="s">
        <v>321</v>
      </c>
      <c r="B24" s="162">
        <v>205</v>
      </c>
      <c r="C24" s="162">
        <v>4</v>
      </c>
      <c r="D24" s="162" t="s">
        <v>17</v>
      </c>
      <c r="E24" s="162" t="s">
        <v>18</v>
      </c>
      <c r="F24" s="219" t="s">
        <v>19</v>
      </c>
      <c r="G24" s="162" t="s">
        <v>74</v>
      </c>
      <c r="H24" s="223" t="s">
        <v>326</v>
      </c>
      <c r="I24" s="269">
        <f t="shared" si="1"/>
        <v>26.780999999999999</v>
      </c>
      <c r="J24" s="269">
        <f t="shared" si="1"/>
        <v>27.606000000000002</v>
      </c>
      <c r="K24" s="269">
        <f t="shared" si="1"/>
        <v>28.454999999999998</v>
      </c>
      <c r="L24" s="269">
        <f t="shared" si="1"/>
        <v>29.33</v>
      </c>
      <c r="M24" s="269"/>
      <c r="N24" s="269"/>
      <c r="O24" s="220"/>
      <c r="P24" s="312" t="s">
        <v>445</v>
      </c>
      <c r="Q24" s="286" t="str">
        <f t="shared" si="2"/>
        <v>06037C</v>
      </c>
      <c r="R24" s="309" t="str">
        <f t="shared" si="2"/>
        <v>Lead Pipe Layer I (Paving Const.) Apprentice II (2nd 522 hours)</v>
      </c>
      <c r="S24" s="321">
        <f t="shared" si="0"/>
        <v>26.780999999999999</v>
      </c>
      <c r="T24" s="321">
        <f>ROUND(IF($P24="Y",((VLOOKUP($Q24,Rates2020,4,0)+LIUNA2021)*PercIncr2021)-LIUNA2021,VLOOKUP($Q24,Rates2020,4,0)),3)</f>
        <v>27.606000000000002</v>
      </c>
      <c r="U24" s="321">
        <f>ROUND(IF($P24="Y",((VLOOKUP($Q24,Rates2020,5,0)+LIUNA2021)*PercIncr2021)-LIUNA2021,VLOOKUP($Q24,Rates2020,5,0)),3)</f>
        <v>28.454999999999998</v>
      </c>
      <c r="V24" s="321">
        <f>ROUND(IF($P24="Y",((VLOOKUP($Q24,Rates2020,6,0)+LIUNA2021)*PercIncr2021)-LIUNA2021,VLOOKUP($Q24,Rates2020,6,0)),3)</f>
        <v>29.33</v>
      </c>
      <c r="W24" s="321"/>
      <c r="X24" s="321"/>
      <c r="Y24" s="321"/>
    </row>
    <row r="25" spans="1:25">
      <c r="A25" s="219" t="s">
        <v>76</v>
      </c>
      <c r="B25" s="162">
        <v>205</v>
      </c>
      <c r="C25" s="162">
        <v>4</v>
      </c>
      <c r="D25" s="162" t="s">
        <v>17</v>
      </c>
      <c r="E25" s="162" t="s">
        <v>18</v>
      </c>
      <c r="F25" s="219" t="s">
        <v>76</v>
      </c>
      <c r="G25" s="162" t="s">
        <v>77</v>
      </c>
      <c r="H25" s="211" t="s">
        <v>327</v>
      </c>
      <c r="I25" s="269">
        <f t="shared" si="1"/>
        <v>29.295000000000002</v>
      </c>
      <c r="J25" s="269"/>
      <c r="K25" s="269"/>
      <c r="L25" s="269"/>
      <c r="M25" s="269"/>
      <c r="N25" s="269"/>
      <c r="O25" s="220"/>
      <c r="P25" s="312" t="s">
        <v>445</v>
      </c>
      <c r="Q25" s="286" t="str">
        <f t="shared" si="2"/>
        <v>06050C</v>
      </c>
      <c r="R25" s="309" t="str">
        <f t="shared" si="2"/>
        <v>Lead Pipe Layer II (Water Const.)</v>
      </c>
      <c r="S25" s="321">
        <f t="shared" si="0"/>
        <v>29.295000000000002</v>
      </c>
      <c r="T25" s="323"/>
      <c r="U25" s="321"/>
      <c r="V25" s="322"/>
      <c r="W25" s="321"/>
      <c r="X25" s="321"/>
      <c r="Y25" s="321"/>
    </row>
    <row r="26" spans="1:25">
      <c r="A26" s="219" t="s">
        <v>319</v>
      </c>
      <c r="B26" s="162">
        <v>205</v>
      </c>
      <c r="C26" s="162">
        <v>4</v>
      </c>
      <c r="D26" s="162" t="s">
        <v>17</v>
      </c>
      <c r="E26" s="162" t="s">
        <v>18</v>
      </c>
      <c r="F26" s="219" t="s">
        <v>19</v>
      </c>
      <c r="G26" s="162" t="s">
        <v>80</v>
      </c>
      <c r="H26" s="223" t="s">
        <v>328</v>
      </c>
      <c r="I26" s="269">
        <f t="shared" si="1"/>
        <v>26.34</v>
      </c>
      <c r="J26" s="269">
        <f t="shared" si="1"/>
        <v>27.164000000000001</v>
      </c>
      <c r="K26" s="269">
        <f t="shared" si="1"/>
        <v>28.013999999999999</v>
      </c>
      <c r="L26" s="269">
        <f t="shared" si="1"/>
        <v>28.888999999999999</v>
      </c>
      <c r="M26" s="269"/>
      <c r="N26" s="269"/>
      <c r="O26" s="220"/>
      <c r="P26" s="312" t="s">
        <v>445</v>
      </c>
      <c r="Q26" s="286" t="str">
        <f t="shared" si="2"/>
        <v>06056C</v>
      </c>
      <c r="R26" s="309" t="str">
        <f t="shared" si="2"/>
        <v>Lead Pipe Layer II (Water Const.) Apprentice I (1st 522 hours)</v>
      </c>
      <c r="S26" s="321">
        <f t="shared" si="0"/>
        <v>26.34</v>
      </c>
      <c r="T26" s="321">
        <f>ROUND(IF($P26="Y",((VLOOKUP($Q26,Rates2020,4,0)+LIUNA2021)*PercIncr2021)-LIUNA2021,VLOOKUP($Q26,Rates2020,4,0)),3)</f>
        <v>27.164000000000001</v>
      </c>
      <c r="U26" s="321">
        <f>ROUND(IF($P26="Y",((VLOOKUP($Q26,Rates2020,5,0)+LIUNA2021)*PercIncr2021)-LIUNA2021,VLOOKUP($Q26,Rates2020,5,0)),3)</f>
        <v>28.013999999999999</v>
      </c>
      <c r="V26" s="321">
        <f>ROUND(IF($P26="Y",((VLOOKUP($Q26,Rates2020,6,0)+LIUNA2021)*PercIncr2021)-LIUNA2021,VLOOKUP($Q26,Rates2020,6,0)),3)</f>
        <v>28.888999999999999</v>
      </c>
      <c r="W26" s="321"/>
      <c r="X26" s="321"/>
      <c r="Y26" s="321"/>
    </row>
    <row r="27" spans="1:25">
      <c r="A27" s="219" t="s">
        <v>321</v>
      </c>
      <c r="B27" s="162">
        <v>205</v>
      </c>
      <c r="C27" s="162">
        <v>4</v>
      </c>
      <c r="D27" s="162" t="s">
        <v>17</v>
      </c>
      <c r="E27" s="162" t="s">
        <v>18</v>
      </c>
      <c r="F27" s="219" t="s">
        <v>19</v>
      </c>
      <c r="G27" s="162" t="s">
        <v>83</v>
      </c>
      <c r="H27" s="223" t="s">
        <v>329</v>
      </c>
      <c r="I27" s="269">
        <f t="shared" si="1"/>
        <v>26.780999999999999</v>
      </c>
      <c r="J27" s="269">
        <f t="shared" si="1"/>
        <v>27.606000000000002</v>
      </c>
      <c r="K27" s="269">
        <f t="shared" si="1"/>
        <v>28.454999999999998</v>
      </c>
      <c r="L27" s="269">
        <f t="shared" si="1"/>
        <v>29.33</v>
      </c>
      <c r="M27" s="269"/>
      <c r="N27" s="269"/>
      <c r="O27" s="220"/>
      <c r="P27" s="312" t="s">
        <v>445</v>
      </c>
      <c r="Q27" s="286" t="str">
        <f t="shared" si="2"/>
        <v>06057C</v>
      </c>
      <c r="R27" s="309" t="str">
        <f t="shared" si="2"/>
        <v>Lead Pipe Layer II (Water Const.) Apprentice II (2nd 522 hours)</v>
      </c>
      <c r="S27" s="321">
        <f t="shared" si="0"/>
        <v>26.780999999999999</v>
      </c>
      <c r="T27" s="321">
        <f>ROUND(IF($P27="Y",((VLOOKUP($Q27,Rates2020,4,0)+LIUNA2021)*PercIncr2021)-LIUNA2021,VLOOKUP($Q27,Rates2020,4,0)),3)</f>
        <v>27.606000000000002</v>
      </c>
      <c r="U27" s="321">
        <f>ROUND(IF($P27="Y",((VLOOKUP($Q27,Rates2020,5,0)+LIUNA2021)*PercIncr2021)-LIUNA2021,VLOOKUP($Q27,Rates2020,5,0)),3)</f>
        <v>28.454999999999998</v>
      </c>
      <c r="V27" s="321">
        <f>ROUND(IF($P27="Y",((VLOOKUP($Q27,Rates2020,6,0)+LIUNA2021)*PercIncr2021)-LIUNA2021,VLOOKUP($Q27,Rates2020,6,0)),3)</f>
        <v>29.33</v>
      </c>
      <c r="W27" s="321"/>
      <c r="X27" s="321"/>
      <c r="Y27" s="321"/>
    </row>
    <row r="28" spans="1:25">
      <c r="A28" s="219" t="s">
        <v>330</v>
      </c>
      <c r="B28" s="162">
        <v>205</v>
      </c>
      <c r="C28" s="162">
        <v>4</v>
      </c>
      <c r="D28" s="162" t="s">
        <v>17</v>
      </c>
      <c r="E28" s="162" t="s">
        <v>18</v>
      </c>
      <c r="F28" s="219" t="s">
        <v>19</v>
      </c>
      <c r="G28" s="162" t="s">
        <v>86</v>
      </c>
      <c r="H28" s="223" t="s">
        <v>331</v>
      </c>
      <c r="I28" s="269">
        <f t="shared" si="1"/>
        <v>27.033000000000001</v>
      </c>
      <c r="J28" s="269">
        <f t="shared" si="1"/>
        <v>27.858000000000001</v>
      </c>
      <c r="K28" s="269">
        <f t="shared" si="1"/>
        <v>28.707000000000001</v>
      </c>
      <c r="L28" s="269">
        <f t="shared" si="1"/>
        <v>29.582000000000001</v>
      </c>
      <c r="M28" s="269"/>
      <c r="N28" s="269"/>
      <c r="O28" s="220"/>
      <c r="P28" s="312" t="s">
        <v>445</v>
      </c>
      <c r="Q28" s="286" t="str">
        <f t="shared" si="2"/>
        <v>06058C</v>
      </c>
      <c r="R28" s="309" t="str">
        <f t="shared" si="2"/>
        <v>Lead Pipe Layer II (Water Const.) Apprentice III (3rd 522 hours)</v>
      </c>
      <c r="S28" s="321">
        <f t="shared" si="0"/>
        <v>27.033000000000001</v>
      </c>
      <c r="T28" s="321">
        <f>ROUND(IF($P28="Y",((VLOOKUP($Q28,Rates2020,4,0)+LIUNA2021)*PercIncr2021)-LIUNA2021,VLOOKUP($Q28,Rates2020,4,0)),3)</f>
        <v>27.858000000000001</v>
      </c>
      <c r="U28" s="321">
        <f>ROUND(IF($P28="Y",((VLOOKUP($Q28,Rates2020,5,0)+LIUNA2021)*PercIncr2021)-LIUNA2021,VLOOKUP($Q28,Rates2020,5,0)),3)</f>
        <v>28.707000000000001</v>
      </c>
      <c r="V28" s="321">
        <f>ROUND(IF($P28="Y",((VLOOKUP($Q28,Rates2020,6,0)+LIUNA2021)*PercIncr2021)-LIUNA2021,VLOOKUP($Q28,Rates2020,6,0)),3)</f>
        <v>29.582000000000001</v>
      </c>
      <c r="W28" s="321"/>
      <c r="X28" s="321"/>
      <c r="Y28" s="321"/>
    </row>
    <row r="29" spans="1:25">
      <c r="A29" s="219" t="s">
        <v>332</v>
      </c>
      <c r="B29" s="162">
        <v>205</v>
      </c>
      <c r="C29" s="162">
        <v>4</v>
      </c>
      <c r="D29" s="162" t="s">
        <v>17</v>
      </c>
      <c r="E29" s="162" t="s">
        <v>18</v>
      </c>
      <c r="F29" s="219" t="s">
        <v>88</v>
      </c>
      <c r="G29" s="162" t="s">
        <v>90</v>
      </c>
      <c r="H29" s="223" t="s">
        <v>333</v>
      </c>
      <c r="I29" s="269">
        <f t="shared" si="1"/>
        <v>30.783999999999999</v>
      </c>
      <c r="J29" s="269"/>
      <c r="K29" s="269"/>
      <c r="L29" s="269"/>
      <c r="M29" s="269"/>
      <c r="N29" s="269"/>
      <c r="O29" s="220"/>
      <c r="P29" s="312" t="s">
        <v>445</v>
      </c>
      <c r="Q29" s="286" t="str">
        <f t="shared" si="2"/>
        <v>06066C</v>
      </c>
      <c r="R29" s="309" t="str">
        <f t="shared" si="2"/>
        <v>Lead Pipe Layer III (Sewer Const.)</v>
      </c>
      <c r="S29" s="321">
        <f t="shared" si="0"/>
        <v>30.783999999999999</v>
      </c>
      <c r="T29" s="321"/>
      <c r="U29" s="321"/>
      <c r="V29" s="322"/>
      <c r="W29" s="321"/>
      <c r="X29" s="321"/>
      <c r="Y29" s="321"/>
    </row>
    <row r="30" spans="1:25">
      <c r="A30" s="219" t="s">
        <v>319</v>
      </c>
      <c r="B30" s="162">
        <v>205</v>
      </c>
      <c r="C30" s="162">
        <v>4</v>
      </c>
      <c r="D30" s="162" t="s">
        <v>17</v>
      </c>
      <c r="E30" s="162" t="s">
        <v>18</v>
      </c>
      <c r="F30" s="219" t="s">
        <v>19</v>
      </c>
      <c r="G30" s="162" t="s">
        <v>93</v>
      </c>
      <c r="H30" s="223" t="s">
        <v>334</v>
      </c>
      <c r="I30" s="269">
        <f t="shared" si="1"/>
        <v>26.34</v>
      </c>
      <c r="J30" s="269">
        <f t="shared" si="1"/>
        <v>27.164000000000001</v>
      </c>
      <c r="K30" s="269">
        <f t="shared" si="1"/>
        <v>28.013999999999999</v>
      </c>
      <c r="L30" s="269">
        <f t="shared" si="1"/>
        <v>28.888999999999999</v>
      </c>
      <c r="M30" s="269"/>
      <c r="N30" s="269"/>
      <c r="O30" s="220"/>
      <c r="P30" s="312" t="s">
        <v>445</v>
      </c>
      <c r="Q30" s="286" t="str">
        <f t="shared" si="2"/>
        <v>06067C</v>
      </c>
      <c r="R30" s="309" t="str">
        <f t="shared" si="2"/>
        <v>Lead Pipe Layer III (Sewer Const.) Apprentice I (1st 522 hours)</v>
      </c>
      <c r="S30" s="321">
        <f t="shared" si="0"/>
        <v>26.34</v>
      </c>
      <c r="T30" s="321">
        <f>ROUND(IF($P30="Y",((VLOOKUP($Q30,Rates2020,4,0)+LIUNA2021)*PercIncr2021)-LIUNA2021,VLOOKUP($Q30,Rates2020,4,0)),3)</f>
        <v>27.164000000000001</v>
      </c>
      <c r="U30" s="321">
        <f>ROUND(IF($P30="Y",((VLOOKUP($Q30,Rates2020,5,0)+LIUNA2021)*PercIncr2021)-LIUNA2021,VLOOKUP($Q30,Rates2020,5,0)),3)</f>
        <v>28.013999999999999</v>
      </c>
      <c r="V30" s="321">
        <f>ROUND(IF($P30="Y",((VLOOKUP($Q30,Rates2020,6,0)+LIUNA2021)*PercIncr2021)-LIUNA2021,VLOOKUP($Q30,Rates2020,6,0)),3)</f>
        <v>28.888999999999999</v>
      </c>
      <c r="W30" s="321"/>
      <c r="X30" s="321"/>
      <c r="Y30" s="321"/>
    </row>
    <row r="31" spans="1:25">
      <c r="A31" s="219" t="s">
        <v>321</v>
      </c>
      <c r="B31" s="162">
        <v>205</v>
      </c>
      <c r="C31" s="162">
        <v>4</v>
      </c>
      <c r="D31" s="162" t="s">
        <v>17</v>
      </c>
      <c r="E31" s="162" t="s">
        <v>18</v>
      </c>
      <c r="F31" s="219" t="s">
        <v>19</v>
      </c>
      <c r="G31" s="162" t="s">
        <v>96</v>
      </c>
      <c r="H31" s="223" t="s">
        <v>335</v>
      </c>
      <c r="I31" s="269">
        <f t="shared" si="1"/>
        <v>26.780999999999999</v>
      </c>
      <c r="J31" s="269">
        <f t="shared" si="1"/>
        <v>27.606000000000002</v>
      </c>
      <c r="K31" s="269">
        <f t="shared" si="1"/>
        <v>28.454999999999998</v>
      </c>
      <c r="L31" s="269">
        <f t="shared" si="1"/>
        <v>29.33</v>
      </c>
      <c r="M31" s="269"/>
      <c r="N31" s="269"/>
      <c r="O31" s="220"/>
      <c r="P31" s="312" t="s">
        <v>445</v>
      </c>
      <c r="Q31" s="286" t="str">
        <f t="shared" si="2"/>
        <v>06068C</v>
      </c>
      <c r="R31" s="309" t="str">
        <f t="shared" si="2"/>
        <v>Lead Pipe Layer III (Sewer Const.) Apprentice II (2nd 522 hours)</v>
      </c>
      <c r="S31" s="321">
        <f t="shared" si="0"/>
        <v>26.780999999999999</v>
      </c>
      <c r="T31" s="321">
        <f>ROUND(IF($P31="Y",((VLOOKUP($Q31,Rates2020,4,0)+LIUNA2021)*PercIncr2021)-LIUNA2021,VLOOKUP($Q31,Rates2020,4,0)),3)</f>
        <v>27.606000000000002</v>
      </c>
      <c r="U31" s="321">
        <f>ROUND(IF($P31="Y",((VLOOKUP($Q31,Rates2020,5,0)+LIUNA2021)*PercIncr2021)-LIUNA2021,VLOOKUP($Q31,Rates2020,5,0)),3)</f>
        <v>28.454999999999998</v>
      </c>
      <c r="V31" s="321">
        <f>ROUND(IF($P31="Y",((VLOOKUP($Q31,Rates2020,6,0)+LIUNA2021)*PercIncr2021)-LIUNA2021,VLOOKUP($Q31,Rates2020,6,0)),3)</f>
        <v>29.33</v>
      </c>
      <c r="W31" s="321"/>
      <c r="X31" s="321"/>
      <c r="Y31" s="321"/>
    </row>
    <row r="32" spans="1:25">
      <c r="A32" s="219" t="s">
        <v>330</v>
      </c>
      <c r="B32" s="162">
        <v>205</v>
      </c>
      <c r="C32" s="162">
        <v>4</v>
      </c>
      <c r="D32" s="162" t="s">
        <v>17</v>
      </c>
      <c r="E32" s="162" t="s">
        <v>18</v>
      </c>
      <c r="F32" s="219" t="s">
        <v>19</v>
      </c>
      <c r="G32" s="162" t="s">
        <v>99</v>
      </c>
      <c r="H32" s="223" t="s">
        <v>336</v>
      </c>
      <c r="I32" s="269">
        <f t="shared" si="1"/>
        <v>27.033000000000001</v>
      </c>
      <c r="J32" s="269">
        <f t="shared" si="1"/>
        <v>27.858000000000001</v>
      </c>
      <c r="K32" s="269">
        <f t="shared" si="1"/>
        <v>28.707000000000001</v>
      </c>
      <c r="L32" s="269">
        <f t="shared" si="1"/>
        <v>29.582000000000001</v>
      </c>
      <c r="M32" s="269"/>
      <c r="N32" s="269"/>
      <c r="O32" s="220"/>
      <c r="P32" s="312" t="s">
        <v>445</v>
      </c>
      <c r="Q32" s="286" t="str">
        <f t="shared" si="2"/>
        <v>06069C</v>
      </c>
      <c r="R32" s="309" t="str">
        <f t="shared" si="2"/>
        <v>Lead Pipe Layer III (Sewer Const.) Apprentice III (3rd 522 hours)</v>
      </c>
      <c r="S32" s="321">
        <f t="shared" si="0"/>
        <v>27.033000000000001</v>
      </c>
      <c r="T32" s="321">
        <f>ROUND(IF($P32="Y",((VLOOKUP($Q32,Rates2020,4,0)+LIUNA2021)*PercIncr2021)-LIUNA2021,VLOOKUP($Q32,Rates2020,4,0)),3)</f>
        <v>27.858000000000001</v>
      </c>
      <c r="U32" s="321">
        <f>ROUND(IF($P32="Y",((VLOOKUP($Q32,Rates2020,5,0)+LIUNA2021)*PercIncr2021)-LIUNA2021,VLOOKUP($Q32,Rates2020,5,0)),3)</f>
        <v>28.707000000000001</v>
      </c>
      <c r="V32" s="321">
        <f>ROUND(IF($P32="Y",((VLOOKUP($Q32,Rates2020,6,0)+LIUNA2021)*PercIncr2021)-LIUNA2021,VLOOKUP($Q32,Rates2020,6,0)),3)</f>
        <v>29.582000000000001</v>
      </c>
      <c r="W32" s="321"/>
      <c r="X32" s="321"/>
      <c r="Y32" s="321"/>
    </row>
    <row r="33" spans="1:26">
      <c r="A33" s="219" t="s">
        <v>332</v>
      </c>
      <c r="B33" s="162">
        <v>273</v>
      </c>
      <c r="C33" s="162">
        <v>6</v>
      </c>
      <c r="D33" s="162" t="s">
        <v>17</v>
      </c>
      <c r="E33" s="162" t="s">
        <v>18</v>
      </c>
      <c r="F33" s="219">
        <v>19</v>
      </c>
      <c r="G33" s="162" t="s">
        <v>101</v>
      </c>
      <c r="H33" s="211" t="s">
        <v>102</v>
      </c>
      <c r="I33" s="269">
        <f t="shared" si="1"/>
        <v>30.783999999999999</v>
      </c>
      <c r="J33" s="269"/>
      <c r="K33" s="269"/>
      <c r="L33" s="269"/>
      <c r="M33" s="269"/>
      <c r="N33" s="269"/>
      <c r="O33" s="220"/>
      <c r="P33" s="312" t="s">
        <v>445</v>
      </c>
      <c r="Q33" s="286" t="str">
        <f t="shared" si="2"/>
        <v>06462C</v>
      </c>
      <c r="R33" s="309" t="str">
        <f t="shared" si="2"/>
        <v>Maintenance Crew Ldr - Bridge</v>
      </c>
      <c r="S33" s="321">
        <f t="shared" si="0"/>
        <v>30.783999999999999</v>
      </c>
      <c r="T33" s="321"/>
      <c r="U33" s="321"/>
      <c r="V33" s="322"/>
      <c r="W33" s="321"/>
      <c r="X33" s="321"/>
      <c r="Y33" s="321"/>
    </row>
    <row r="34" spans="1:26">
      <c r="A34" s="219" t="s">
        <v>332</v>
      </c>
      <c r="B34" s="162">
        <v>273</v>
      </c>
      <c r="C34" s="162">
        <v>6</v>
      </c>
      <c r="D34" s="162" t="s">
        <v>17</v>
      </c>
      <c r="E34" s="162" t="s">
        <v>18</v>
      </c>
      <c r="F34" s="219" t="s">
        <v>88</v>
      </c>
      <c r="G34" s="162" t="s">
        <v>103</v>
      </c>
      <c r="H34" s="211" t="s">
        <v>104</v>
      </c>
      <c r="I34" s="269">
        <f t="shared" si="1"/>
        <v>30.783999999999999</v>
      </c>
      <c r="J34" s="269"/>
      <c r="K34" s="269"/>
      <c r="L34" s="269"/>
      <c r="M34" s="269"/>
      <c r="N34" s="269"/>
      <c r="O34" s="220"/>
      <c r="P34" s="312" t="s">
        <v>445</v>
      </c>
      <c r="Q34" s="286" t="str">
        <f t="shared" si="2"/>
        <v>06464C</v>
      </c>
      <c r="R34" s="309" t="str">
        <f t="shared" si="2"/>
        <v>Maintenance Crew Ldr - Sewer</v>
      </c>
      <c r="S34" s="321">
        <f t="shared" si="0"/>
        <v>30.783999999999999</v>
      </c>
      <c r="T34" s="321"/>
      <c r="U34" s="321"/>
      <c r="V34" s="322"/>
      <c r="W34" s="321"/>
      <c r="X34" s="321"/>
      <c r="Y34" s="321"/>
    </row>
    <row r="35" spans="1:26">
      <c r="A35" s="219" t="s">
        <v>332</v>
      </c>
      <c r="B35" s="162">
        <v>273</v>
      </c>
      <c r="C35" s="162">
        <v>6</v>
      </c>
      <c r="D35" s="162" t="s">
        <v>17</v>
      </c>
      <c r="E35" s="162" t="s">
        <v>18</v>
      </c>
      <c r="F35" s="219">
        <v>19</v>
      </c>
      <c r="G35" s="162" t="s">
        <v>105</v>
      </c>
      <c r="H35" s="211" t="s">
        <v>106</v>
      </c>
      <c r="I35" s="269">
        <f t="shared" si="1"/>
        <v>30.783999999999999</v>
      </c>
      <c r="J35" s="269"/>
      <c r="K35" s="269"/>
      <c r="L35" s="269"/>
      <c r="M35" s="269"/>
      <c r="N35" s="269"/>
      <c r="O35" s="220"/>
      <c r="P35" s="312" t="s">
        <v>445</v>
      </c>
      <c r="Q35" s="286" t="str">
        <f t="shared" si="2"/>
        <v>06465C</v>
      </c>
      <c r="R35" s="309" t="str">
        <f t="shared" si="2"/>
        <v>Maintenance Crew Ldr - Sol Waste</v>
      </c>
      <c r="S35" s="321">
        <f t="shared" si="0"/>
        <v>30.783999999999999</v>
      </c>
      <c r="T35" s="321"/>
      <c r="U35" s="321"/>
      <c r="V35" s="322"/>
      <c r="W35" s="321"/>
      <c r="X35" s="321"/>
      <c r="Y35" s="321"/>
    </row>
    <row r="36" spans="1:26">
      <c r="A36" s="219" t="s">
        <v>332</v>
      </c>
      <c r="B36" s="162">
        <v>273</v>
      </c>
      <c r="C36" s="162">
        <v>6</v>
      </c>
      <c r="D36" s="162" t="s">
        <v>17</v>
      </c>
      <c r="E36" s="162" t="s">
        <v>18</v>
      </c>
      <c r="F36" s="219">
        <v>19</v>
      </c>
      <c r="G36" s="162" t="s">
        <v>107</v>
      </c>
      <c r="H36" s="211" t="s">
        <v>108</v>
      </c>
      <c r="I36" s="269">
        <f t="shared" si="1"/>
        <v>30.783999999999999</v>
      </c>
      <c r="J36" s="269"/>
      <c r="K36" s="269"/>
      <c r="L36" s="269"/>
      <c r="M36" s="269"/>
      <c r="N36" s="269"/>
      <c r="O36" s="220"/>
      <c r="P36" s="312" t="s">
        <v>445</v>
      </c>
      <c r="Q36" s="286" t="str">
        <f t="shared" si="2"/>
        <v>06466C</v>
      </c>
      <c r="R36" s="309" t="str">
        <f t="shared" si="2"/>
        <v>Maintenance Crew Ldr - Streets</v>
      </c>
      <c r="S36" s="321">
        <f t="shared" si="0"/>
        <v>30.783999999999999</v>
      </c>
      <c r="T36" s="321"/>
      <c r="U36" s="321"/>
      <c r="V36" s="322"/>
      <c r="W36" s="321"/>
      <c r="X36" s="321"/>
      <c r="Y36" s="321"/>
    </row>
    <row r="37" spans="1:26">
      <c r="A37" s="219" t="s">
        <v>332</v>
      </c>
      <c r="B37" s="162">
        <v>273</v>
      </c>
      <c r="C37" s="162">
        <v>6</v>
      </c>
      <c r="D37" s="162" t="s">
        <v>17</v>
      </c>
      <c r="E37" s="162" t="s">
        <v>18</v>
      </c>
      <c r="F37" s="219">
        <v>19</v>
      </c>
      <c r="G37" s="162" t="s">
        <v>109</v>
      </c>
      <c r="H37" s="211" t="s">
        <v>110</v>
      </c>
      <c r="I37" s="269">
        <f t="shared" si="1"/>
        <v>30.783999999999999</v>
      </c>
      <c r="J37" s="269"/>
      <c r="K37" s="269"/>
      <c r="L37" s="269"/>
      <c r="M37" s="269"/>
      <c r="N37" s="269"/>
      <c r="O37" s="220"/>
      <c r="P37" s="312" t="s">
        <v>445</v>
      </c>
      <c r="Q37" s="286" t="str">
        <f t="shared" si="2"/>
        <v>06468C</v>
      </c>
      <c r="R37" s="309" t="str">
        <f t="shared" si="2"/>
        <v>Maintenance Crew Ldr - Traffic</v>
      </c>
      <c r="S37" s="321">
        <f t="shared" si="0"/>
        <v>30.783999999999999</v>
      </c>
      <c r="T37" s="321"/>
      <c r="U37" s="321"/>
      <c r="V37" s="322"/>
      <c r="W37" s="321"/>
      <c r="X37" s="321"/>
      <c r="Y37" s="321"/>
    </row>
    <row r="38" spans="1:26">
      <c r="A38" s="219" t="s">
        <v>111</v>
      </c>
      <c r="B38" s="162">
        <v>238</v>
      </c>
      <c r="C38" s="162">
        <v>5</v>
      </c>
      <c r="D38" s="162" t="s">
        <v>17</v>
      </c>
      <c r="E38" s="162" t="s">
        <v>18</v>
      </c>
      <c r="F38" s="219" t="s">
        <v>111</v>
      </c>
      <c r="G38" s="162" t="s">
        <v>112</v>
      </c>
      <c r="H38" s="211" t="s">
        <v>113</v>
      </c>
      <c r="I38" s="269">
        <f t="shared" si="1"/>
        <v>28.7</v>
      </c>
      <c r="J38" s="269"/>
      <c r="K38" s="269"/>
      <c r="L38" s="269"/>
      <c r="M38" s="269"/>
      <c r="N38" s="269"/>
      <c r="O38" s="220"/>
      <c r="P38" s="312" t="s">
        <v>445</v>
      </c>
      <c r="Q38" s="286" t="str">
        <f t="shared" si="2"/>
        <v>07440C</v>
      </c>
      <c r="R38" s="309" t="str">
        <f t="shared" si="2"/>
        <v>Parking Meter Service Worker</v>
      </c>
      <c r="S38" s="321">
        <f t="shared" si="0"/>
        <v>28.7</v>
      </c>
      <c r="T38" s="321"/>
      <c r="U38" s="321"/>
      <c r="V38" s="322"/>
      <c r="W38" s="321"/>
      <c r="X38" s="321"/>
      <c r="Y38" s="321"/>
    </row>
    <row r="39" spans="1:26">
      <c r="A39" s="219" t="s">
        <v>114</v>
      </c>
      <c r="B39" s="162">
        <v>215</v>
      </c>
      <c r="C39" s="162">
        <v>4</v>
      </c>
      <c r="D39" s="162" t="s">
        <v>17</v>
      </c>
      <c r="E39" s="162" t="s">
        <v>18</v>
      </c>
      <c r="F39" s="219" t="s">
        <v>114</v>
      </c>
      <c r="G39" s="162" t="s">
        <v>115</v>
      </c>
      <c r="H39" s="211" t="s">
        <v>116</v>
      </c>
      <c r="I39" s="269">
        <f t="shared" si="1"/>
        <v>26.821999999999999</v>
      </c>
      <c r="J39" s="269"/>
      <c r="K39" s="269"/>
      <c r="L39" s="269"/>
      <c r="M39" s="269"/>
      <c r="N39" s="269"/>
      <c r="O39" s="220"/>
      <c r="P39" s="312" t="s">
        <v>445</v>
      </c>
      <c r="Q39" s="286" t="str">
        <f t="shared" si="2"/>
        <v>07940C</v>
      </c>
      <c r="R39" s="309" t="str">
        <f t="shared" si="2"/>
        <v>Plant Service Worker</v>
      </c>
      <c r="S39" s="321">
        <f t="shared" si="0"/>
        <v>26.821999999999999</v>
      </c>
      <c r="T39" s="321"/>
      <c r="U39" s="321"/>
      <c r="V39" s="322"/>
      <c r="W39" s="321"/>
      <c r="X39" s="321"/>
      <c r="Y39" s="321"/>
    </row>
    <row r="40" spans="1:26">
      <c r="A40" s="219" t="s">
        <v>118</v>
      </c>
      <c r="B40" s="162">
        <v>335</v>
      </c>
      <c r="C40" s="162">
        <v>7</v>
      </c>
      <c r="D40" s="162" t="s">
        <v>17</v>
      </c>
      <c r="E40" s="162" t="s">
        <v>18</v>
      </c>
      <c r="F40" s="219" t="s">
        <v>117</v>
      </c>
      <c r="G40" s="162" t="s">
        <v>119</v>
      </c>
      <c r="H40" s="211" t="s">
        <v>120</v>
      </c>
      <c r="I40" s="269">
        <f t="shared" si="1"/>
        <v>27.004999999999999</v>
      </c>
      <c r="J40" s="269">
        <f t="shared" si="1"/>
        <v>28.393000000000001</v>
      </c>
      <c r="K40" s="269">
        <f t="shared" si="1"/>
        <v>29.782</v>
      </c>
      <c r="L40" s="269">
        <f t="shared" si="1"/>
        <v>31.166</v>
      </c>
      <c r="M40" s="269">
        <f t="shared" si="1"/>
        <v>32.555</v>
      </c>
      <c r="N40" s="269">
        <f t="shared" si="1"/>
        <v>33.947000000000003</v>
      </c>
      <c r="O40" s="220"/>
      <c r="P40" s="312" t="s">
        <v>445</v>
      </c>
      <c r="Q40" s="286" t="str">
        <f t="shared" si="2"/>
        <v>02621C</v>
      </c>
      <c r="R40" s="309" t="str">
        <f t="shared" si="2"/>
        <v>Pubic Works Equipment Dispatcher</v>
      </c>
      <c r="S40" s="321">
        <f t="shared" si="0"/>
        <v>27.004999999999999</v>
      </c>
      <c r="T40" s="321">
        <f>ROUND(IF($P40="Y",((VLOOKUP($Q40,Rates2020,4,0)+LIUNA2021)*PercIncr2021)-LIUNA2021,VLOOKUP($Q40,Rates2020,4,0)),3)</f>
        <v>28.393000000000001</v>
      </c>
      <c r="U40" s="321">
        <f>ROUND(IF($P40="Y",((VLOOKUP($Q40,Rates2020,5,0)+LIUNA2021)*PercIncr2021)-LIUNA2021,VLOOKUP($Q40,Rates2020,5,0)),3)</f>
        <v>29.782</v>
      </c>
      <c r="V40" s="321">
        <f>ROUND(IF($P40="Y",((VLOOKUP($Q40,Rates2020,6,0)+LIUNA2021)*PercIncr2021)-LIUNA2021,VLOOKUP($Q40,Rates2020,6,0)),3)</f>
        <v>31.166</v>
      </c>
      <c r="W40" s="321">
        <f>ROUND(IF($P40="Y",((VLOOKUP($Q40,Rates2020,7,0)+LIUNA2021)*PercIncr2021)-LIUNA2021,VLOOKUP($Q40,Rates2020,7,0)),3)</f>
        <v>32.555</v>
      </c>
      <c r="X40" s="321">
        <f>ROUND(IF($P40="Y",((VLOOKUP($Q40,Rates2020,8,0)+LIUNA2021)*PercIncr2021)-LIUNA2021,VLOOKUP($Q40,Rates2020,8,0)),3)</f>
        <v>33.947000000000003</v>
      </c>
      <c r="Y40" s="321"/>
    </row>
    <row r="41" spans="1:26">
      <c r="A41" s="219" t="s">
        <v>19</v>
      </c>
      <c r="B41" s="162">
        <v>230</v>
      </c>
      <c r="C41" s="162">
        <v>5</v>
      </c>
      <c r="D41" s="162" t="s">
        <v>17</v>
      </c>
      <c r="E41" s="162" t="s">
        <v>18</v>
      </c>
      <c r="F41" s="219" t="s">
        <v>19</v>
      </c>
      <c r="G41" s="162" t="s">
        <v>121</v>
      </c>
      <c r="H41" s="223" t="s">
        <v>122</v>
      </c>
      <c r="I41" s="269">
        <f t="shared" si="1"/>
        <v>26.151</v>
      </c>
      <c r="J41" s="269">
        <f t="shared" si="1"/>
        <v>26.975000000000001</v>
      </c>
      <c r="K41" s="269">
        <f t="shared" si="1"/>
        <v>27.824999999999999</v>
      </c>
      <c r="L41" s="269">
        <f t="shared" si="1"/>
        <v>28.7</v>
      </c>
      <c r="M41" s="269"/>
      <c r="N41" s="269"/>
      <c r="O41" s="220"/>
      <c r="P41" s="312" t="s">
        <v>445</v>
      </c>
      <c r="Q41" s="286" t="str">
        <f t="shared" si="2"/>
        <v>08568C</v>
      </c>
      <c r="R41" s="309" t="str">
        <f t="shared" si="2"/>
        <v xml:space="preserve">Public Works Service Worker I </v>
      </c>
      <c r="S41" s="321">
        <f t="shared" si="0"/>
        <v>26.151</v>
      </c>
      <c r="T41" s="321">
        <f>ROUND(IF($P41="Y",((VLOOKUP($Q41,Rates2020,4,0)+LIUNA2021)*PercIncr2021)-LIUNA2021,VLOOKUP($Q41,Rates2020,4,0)),3)</f>
        <v>26.975000000000001</v>
      </c>
      <c r="U41" s="321">
        <f>ROUND(IF($P41="Y",((VLOOKUP($Q41,Rates2020,5,0)+LIUNA2021)*PercIncr2021)-LIUNA2021,VLOOKUP($Q41,Rates2020,5,0)),3)</f>
        <v>27.824999999999999</v>
      </c>
      <c r="V41" s="321">
        <f>ROUND(IF($P41="Y",((VLOOKUP($Q41,Rates2020,6,0)+LIUNA2021)*PercIncr2021)-LIUNA2021,VLOOKUP($Q41,Rates2020,6,0)),3)</f>
        <v>28.7</v>
      </c>
      <c r="W41" s="321"/>
      <c r="X41" s="321"/>
      <c r="Y41" s="321"/>
    </row>
    <row r="42" spans="1:26">
      <c r="A42" s="219" t="s">
        <v>124</v>
      </c>
      <c r="B42" s="162">
        <v>230</v>
      </c>
      <c r="C42" s="162">
        <v>5</v>
      </c>
      <c r="D42" s="162" t="s">
        <v>17</v>
      </c>
      <c r="E42" s="162" t="s">
        <v>18</v>
      </c>
      <c r="F42" s="219" t="s">
        <v>124</v>
      </c>
      <c r="G42" s="162" t="s">
        <v>126</v>
      </c>
      <c r="H42" s="223" t="s">
        <v>127</v>
      </c>
      <c r="I42" s="221" t="str">
        <f>"6 months = "&amp;TEXT(S42,"$0.000")</f>
        <v>6 months = $17.053</v>
      </c>
      <c r="J42" s="228"/>
      <c r="K42" s="221" t="str">
        <f>"After 6 months AND holds a CDL = "&amp;TEXT(T42,"$0.000")</f>
        <v>After 6 months AND holds a CDL = $18.269</v>
      </c>
      <c r="L42" s="208"/>
      <c r="O42" s="220"/>
      <c r="P42" s="312" t="s">
        <v>445</v>
      </c>
      <c r="Q42" s="286" t="str">
        <f t="shared" si="2"/>
        <v>08564C</v>
      </c>
      <c r="R42" s="309" t="str">
        <f t="shared" si="2"/>
        <v xml:space="preserve">Public Works Service Worker I - Trainee </v>
      </c>
      <c r="S42" s="341">
        <f>ROUND(IF($P42="Y",((VLOOKUP($Q42,Rates2020,3,0))*PercIncr2021),VLOOKUP($Q42,Rates2020,3,0)),3)</f>
        <v>17.053000000000001</v>
      </c>
      <c r="T42" s="341">
        <f>ROUND(IF($P42="Y",((VLOOKUP($Q42,Rates2020,4,0))*PercIncr2021),VLOOKUP($Q42,Rates2020,4,0)),3)</f>
        <v>18.268999999999998</v>
      </c>
      <c r="U42" s="321"/>
      <c r="V42" s="322"/>
      <c r="W42" s="341" t="s">
        <v>446</v>
      </c>
      <c r="X42" s="321"/>
      <c r="Y42" s="321"/>
    </row>
    <row r="43" spans="1:26">
      <c r="A43" s="219" t="s">
        <v>130</v>
      </c>
      <c r="B43" s="162">
        <v>318</v>
      </c>
      <c r="C43" s="162">
        <v>7</v>
      </c>
      <c r="D43" s="162" t="s">
        <v>17</v>
      </c>
      <c r="E43" s="162" t="s">
        <v>18</v>
      </c>
      <c r="F43" s="219" t="s">
        <v>130</v>
      </c>
      <c r="G43" s="229" t="s">
        <v>131</v>
      </c>
      <c r="H43" s="223" t="s">
        <v>382</v>
      </c>
      <c r="I43" s="269">
        <f t="shared" si="1"/>
        <v>34.103000000000002</v>
      </c>
      <c r="J43" s="269">
        <f t="shared" si="1"/>
        <v>35.027999999999999</v>
      </c>
      <c r="K43" s="269">
        <f t="shared" si="1"/>
        <v>36.134</v>
      </c>
      <c r="L43" s="269"/>
      <c r="M43" s="269"/>
      <c r="N43" s="269"/>
      <c r="O43" s="269"/>
      <c r="P43" s="312" t="s">
        <v>445</v>
      </c>
      <c r="Q43" s="286" t="str">
        <f t="shared" si="2"/>
        <v>09194C</v>
      </c>
      <c r="R43" s="309" t="str">
        <f t="shared" si="2"/>
        <v xml:space="preserve">Senior Water Treatment Operator </v>
      </c>
      <c r="S43" s="321">
        <f t="shared" ref="S43:S48" si="3">ROUND(IF($P43="Y",((VLOOKUP($Q43,Rates2020,3,0)+LIUNA2021)*PercIncr2021)-LIUNA2021,VLOOKUP($Q43,Rates2020,3,0)),3)</f>
        <v>34.103000000000002</v>
      </c>
      <c r="T43" s="321">
        <f>ROUND(IF($P43="Y",((VLOOKUP($Q43,Rates2020,4,0)+LIUNA2021)*PercIncr2021)-LIUNA2021,VLOOKUP($Q43,Rates2020,4,0)),3)</f>
        <v>35.027999999999999</v>
      </c>
      <c r="U43" s="321">
        <f>ROUND(IF($P43="Y",((VLOOKUP($Q43,Rates2020,5,0)+LIUNA2021)*PercIncr2021)-LIUNA2021,VLOOKUP($Q43,Rates2020,5,0)),3)</f>
        <v>36.134</v>
      </c>
      <c r="V43" s="322"/>
      <c r="W43" s="321"/>
      <c r="X43" s="321"/>
      <c r="Y43" s="321"/>
    </row>
    <row r="44" spans="1:26">
      <c r="A44" s="219" t="s">
        <v>133</v>
      </c>
      <c r="B44" s="162">
        <v>310</v>
      </c>
      <c r="C44" s="162">
        <v>6</v>
      </c>
      <c r="D44" s="162" t="s">
        <v>17</v>
      </c>
      <c r="E44" s="162" t="s">
        <v>18</v>
      </c>
      <c r="F44" s="219" t="s">
        <v>133</v>
      </c>
      <c r="G44" s="162" t="s">
        <v>134</v>
      </c>
      <c r="H44" s="211" t="s">
        <v>135</v>
      </c>
      <c r="I44" s="269">
        <f t="shared" si="1"/>
        <v>26.916</v>
      </c>
      <c r="J44" s="269">
        <f t="shared" si="1"/>
        <v>28.242000000000001</v>
      </c>
      <c r="K44" s="269">
        <f t="shared" si="1"/>
        <v>29.545999999999999</v>
      </c>
      <c r="L44" s="269">
        <f t="shared" si="1"/>
        <v>30.946999999999999</v>
      </c>
      <c r="M44" s="269"/>
      <c r="N44" s="269"/>
      <c r="O44" s="269"/>
      <c r="P44" s="312" t="s">
        <v>445</v>
      </c>
      <c r="Q44" s="286" t="str">
        <f t="shared" si="2"/>
        <v>09184C</v>
      </c>
      <c r="R44" s="309" t="str">
        <f t="shared" si="2"/>
        <v>Sewer Pumping Station Operator</v>
      </c>
      <c r="S44" s="321">
        <f t="shared" si="3"/>
        <v>26.916</v>
      </c>
      <c r="T44" s="321">
        <f>ROUND(IF($P44="Y",((VLOOKUP($Q44,Rates2020,4,0)+LIUNA2021)*PercIncr2021)-LIUNA2021,VLOOKUP($Q44,Rates2020,4,0)),3)</f>
        <v>28.242000000000001</v>
      </c>
      <c r="U44" s="321">
        <f>ROUND(IF($P44="Y",((VLOOKUP($Q44,Rates2020,5,0)+LIUNA2021)*PercIncr2021)-LIUNA2021,VLOOKUP($Q44,Rates2020,5,0)),3)</f>
        <v>29.545999999999999</v>
      </c>
      <c r="V44" s="321">
        <f>ROUND(IF($P44="Y",((VLOOKUP($Q44,Rates2020,6,0)+LIUNA2021)*PercIncr2021)-LIUNA2021,VLOOKUP($Q44,Rates2020,6,0)),3)</f>
        <v>30.946999999999999</v>
      </c>
      <c r="W44" s="321"/>
      <c r="X44" s="321"/>
      <c r="Y44" s="321"/>
    </row>
    <row r="45" spans="1:26">
      <c r="A45" s="219" t="s">
        <v>111</v>
      </c>
      <c r="B45" s="162">
        <v>258</v>
      </c>
      <c r="C45" s="162">
        <v>5</v>
      </c>
      <c r="D45" s="162" t="s">
        <v>17</v>
      </c>
      <c r="E45" s="162" t="s">
        <v>18</v>
      </c>
      <c r="F45" s="219">
        <v>16</v>
      </c>
      <c r="G45" s="162" t="s">
        <v>136</v>
      </c>
      <c r="H45" s="211" t="s">
        <v>137</v>
      </c>
      <c r="I45" s="269">
        <f t="shared" si="1"/>
        <v>28.7</v>
      </c>
      <c r="J45" s="269"/>
      <c r="K45" s="269"/>
      <c r="L45" s="269"/>
      <c r="M45" s="269"/>
      <c r="N45" s="269"/>
      <c r="O45" s="269"/>
      <c r="P45" s="312" t="s">
        <v>445</v>
      </c>
      <c r="Q45" s="286" t="str">
        <f t="shared" si="2"/>
        <v>09220C</v>
      </c>
      <c r="R45" s="309" t="str">
        <f t="shared" si="2"/>
        <v>Shop Repair Worker I</v>
      </c>
      <c r="S45" s="321">
        <f t="shared" si="3"/>
        <v>28.7</v>
      </c>
      <c r="T45" s="321"/>
      <c r="U45" s="321"/>
      <c r="V45" s="322"/>
      <c r="W45" s="321"/>
      <c r="X45" s="321"/>
      <c r="Y45" s="321"/>
    </row>
    <row r="46" spans="1:26">
      <c r="A46" s="219" t="s">
        <v>308</v>
      </c>
      <c r="B46" s="162">
        <v>295</v>
      </c>
      <c r="C46" s="162">
        <v>6</v>
      </c>
      <c r="D46" s="162" t="s">
        <v>17</v>
      </c>
      <c r="E46" s="162" t="s">
        <v>18</v>
      </c>
      <c r="F46" s="219">
        <v>17</v>
      </c>
      <c r="G46" s="162" t="s">
        <v>138</v>
      </c>
      <c r="H46" s="211" t="s">
        <v>139</v>
      </c>
      <c r="I46" s="269">
        <f t="shared" si="1"/>
        <v>30.443999999999999</v>
      </c>
      <c r="J46" s="269">
        <f t="shared" si="1"/>
        <v>31.236000000000001</v>
      </c>
      <c r="K46" s="269">
        <f t="shared" si="1"/>
        <v>32.027000000000001</v>
      </c>
      <c r="L46" s="269"/>
      <c r="M46" s="269"/>
      <c r="N46" s="269"/>
      <c r="O46" s="269"/>
      <c r="P46" s="313" t="s">
        <v>445</v>
      </c>
      <c r="Q46" s="286" t="str">
        <f t="shared" si="2"/>
        <v>09230C</v>
      </c>
      <c r="R46" s="309" t="str">
        <f t="shared" si="2"/>
        <v>Shop Repair Worker II</v>
      </c>
      <c r="S46" s="321">
        <f t="shared" si="3"/>
        <v>30.443999999999999</v>
      </c>
      <c r="T46" s="321">
        <f>ROUND(IF($P46="Y",((VLOOKUP($Q46,Rates2020,4,0)+LIUNA2021)*PercIncr2021)-LIUNA2021,VLOOKUP($Q46,Rates2020,4,0)),3)</f>
        <v>31.236000000000001</v>
      </c>
      <c r="U46" s="321">
        <f>ROUND(IF($P46="Y",((VLOOKUP($Q46,Rates2020,5,0)+LIUNA2021)*PercIncr2021)-LIUNA2021,VLOOKUP($Q46,Rates2020,5,0)),3)</f>
        <v>32.027000000000001</v>
      </c>
      <c r="V46" s="321"/>
      <c r="W46" s="321"/>
      <c r="X46" s="321"/>
      <c r="Y46" s="321"/>
    </row>
    <row r="47" spans="1:26">
      <c r="A47" s="219">
        <v>8</v>
      </c>
      <c r="B47" s="162">
        <v>260</v>
      </c>
      <c r="C47" s="162">
        <v>5</v>
      </c>
      <c r="D47" s="162" t="s">
        <v>17</v>
      </c>
      <c r="E47" s="162" t="s">
        <v>18</v>
      </c>
      <c r="F47" s="219">
        <v>8</v>
      </c>
      <c r="G47" s="162" t="s">
        <v>140</v>
      </c>
      <c r="H47" s="211" t="s">
        <v>141</v>
      </c>
      <c r="I47" s="269">
        <f t="shared" si="1"/>
        <v>20.399000000000001</v>
      </c>
      <c r="J47" s="269">
        <f t="shared" si="1"/>
        <v>21.643000000000001</v>
      </c>
      <c r="K47" s="269">
        <f t="shared" si="1"/>
        <v>23.789000000000001</v>
      </c>
      <c r="L47" s="269">
        <f t="shared" si="1"/>
        <v>24.716000000000001</v>
      </c>
      <c r="M47" s="269">
        <f t="shared" si="1"/>
        <v>26.582999999999998</v>
      </c>
      <c r="N47" s="269">
        <f t="shared" si="1"/>
        <v>27.696000000000002</v>
      </c>
      <c r="O47" s="269">
        <f t="shared" si="1"/>
        <v>28.7</v>
      </c>
      <c r="P47" s="312" t="s">
        <v>445</v>
      </c>
      <c r="Q47" s="286" t="str">
        <f t="shared" si="2"/>
        <v>09400C</v>
      </c>
      <c r="R47" s="309" t="str">
        <f t="shared" si="2"/>
        <v>Stock Worker</v>
      </c>
      <c r="S47" s="321">
        <f t="shared" si="3"/>
        <v>20.399000000000001</v>
      </c>
      <c r="T47" s="321">
        <f>ROUND(IF($P47="Y",((VLOOKUP($Q47,Rates2020,4,0)+LIUNA2021)*PercIncr2021)-LIUNA2021,VLOOKUP($Q47,Rates2020,4,0)),3)</f>
        <v>21.643000000000001</v>
      </c>
      <c r="U47" s="321">
        <f>ROUND(IF($P47="Y",((VLOOKUP($Q47,Rates2020,5,0)+LIUNA2021)*PercIncr2021)-LIUNA2021,VLOOKUP($Q47,Rates2020,5,0)),3)</f>
        <v>23.789000000000001</v>
      </c>
      <c r="V47" s="321">
        <f>ROUND(IF($P47="Y",((VLOOKUP($Q47,Rates2020,6,0)+LIUNA2021)*PercIncr2021)-LIUNA2021,VLOOKUP($Q47,Rates2020,6,0)),3)</f>
        <v>24.716000000000001</v>
      </c>
      <c r="W47" s="321">
        <f>ROUND(IF($P47="Y",((VLOOKUP($Q47,Rates2020,7,0)+LIUNA2021)*PercIncr2021)-LIUNA2021,VLOOKUP($Q47,Rates2020,7,0)),3)</f>
        <v>26.582999999999998</v>
      </c>
      <c r="X47" s="321">
        <f>ROUND(IF($P47="Y",((VLOOKUP($Q47,Rates2020,8,0)+LIUNA2021)*PercIncr2021)-LIUNA2021,VLOOKUP($Q47,Rates2020,8,0)),3)</f>
        <v>27.696000000000002</v>
      </c>
      <c r="Y47" s="321">
        <f>ROUND(IF($P47="Y",((VLOOKUP($Q47,Rates2020,9,0)+LIUNA2021)*PercIncr2021)-LIUNA2021,VLOOKUP($Q47,Rates2020,9,0)),3)</f>
        <v>28.7</v>
      </c>
      <c r="Z47" s="230"/>
    </row>
    <row r="48" spans="1:26">
      <c r="A48" s="219" t="s">
        <v>118</v>
      </c>
      <c r="B48" s="162">
        <v>333</v>
      </c>
      <c r="C48" s="162">
        <v>7</v>
      </c>
      <c r="D48" s="162" t="s">
        <v>17</v>
      </c>
      <c r="E48" s="162" t="s">
        <v>18</v>
      </c>
      <c r="F48" s="219" t="s">
        <v>117</v>
      </c>
      <c r="G48" s="162" t="s">
        <v>142</v>
      </c>
      <c r="H48" s="211" t="s">
        <v>143</v>
      </c>
      <c r="I48" s="269">
        <f t="shared" si="1"/>
        <v>27.004999999999999</v>
      </c>
      <c r="J48" s="269">
        <f t="shared" si="1"/>
        <v>28.393000000000001</v>
      </c>
      <c r="K48" s="269">
        <f t="shared" si="1"/>
        <v>29.782</v>
      </c>
      <c r="L48" s="269">
        <f t="shared" si="1"/>
        <v>31.166</v>
      </c>
      <c r="M48" s="269">
        <f t="shared" si="1"/>
        <v>32.555</v>
      </c>
      <c r="N48" s="269">
        <f t="shared" si="1"/>
        <v>33.947000000000003</v>
      </c>
      <c r="O48" s="269"/>
      <c r="P48" s="312" t="s">
        <v>445</v>
      </c>
      <c r="Q48" s="286" t="str">
        <f t="shared" si="2"/>
        <v>09284C</v>
      </c>
      <c r="R48" s="309" t="str">
        <f t="shared" si="2"/>
        <v xml:space="preserve">Stores Center Coordinator   </v>
      </c>
      <c r="S48" s="321">
        <f t="shared" si="3"/>
        <v>27.004999999999999</v>
      </c>
      <c r="T48" s="321">
        <f>ROUND(IF($P48="Y",((VLOOKUP($Q48,Rates2020,4,0)+LIUNA2021)*PercIncr2021)-LIUNA2021,VLOOKUP($Q48,Rates2020,4,0)),3)</f>
        <v>28.393000000000001</v>
      </c>
      <c r="U48" s="321">
        <f>ROUND(IF($P48="Y",((VLOOKUP($Q48,Rates2020,5,0)+LIUNA2021)*PercIncr2021)-LIUNA2021,VLOOKUP($Q48,Rates2020,5,0)),3)</f>
        <v>29.782</v>
      </c>
      <c r="V48" s="321">
        <f>ROUND(IF($P48="Y",((VLOOKUP($Q48,Rates2020,6,0)+LIUNA2021)*PercIncr2021)-LIUNA2021,VLOOKUP($Q48,Rates2020,6,0)),3)</f>
        <v>31.166</v>
      </c>
      <c r="W48" s="321">
        <f>ROUND(IF($P48="Y",((VLOOKUP($Q48,Rates2020,7,0)+LIUNA2021)*PercIncr2021)-LIUNA2021,VLOOKUP($Q48,Rates2020,7,0)),3)</f>
        <v>32.555</v>
      </c>
      <c r="X48" s="321">
        <f>ROUND(IF($P48="Y",((VLOOKUP($Q48,Rates2020,8,0)+LIUNA2021)*PercIncr2021)-LIUNA2021,VLOOKUP($Q48,Rates2020,8,0)),3)</f>
        <v>33.947000000000003</v>
      </c>
      <c r="Y48" s="321"/>
    </row>
    <row r="49" spans="1:25">
      <c r="A49" s="219" t="s">
        <v>383</v>
      </c>
      <c r="B49" s="162"/>
      <c r="C49" s="162"/>
      <c r="D49" s="162" t="s">
        <v>17</v>
      </c>
      <c r="E49" s="162" t="s">
        <v>18</v>
      </c>
      <c r="F49" s="219" t="s">
        <v>383</v>
      </c>
      <c r="G49" s="162" t="s">
        <v>384</v>
      </c>
      <c r="H49" s="211" t="s">
        <v>385</v>
      </c>
      <c r="I49" s="269">
        <v>35.71</v>
      </c>
      <c r="J49" s="269"/>
      <c r="K49" s="269"/>
      <c r="L49" s="269"/>
      <c r="M49" s="269"/>
      <c r="N49" s="269"/>
      <c r="O49" s="269"/>
      <c r="P49" s="312" t="s">
        <v>445</v>
      </c>
      <c r="Q49" s="286" t="str">
        <f t="shared" si="2"/>
        <v>52931C</v>
      </c>
      <c r="R49" s="309" t="str">
        <f t="shared" si="2"/>
        <v>Union Leader (Service Area Crew Leader)</v>
      </c>
      <c r="S49" s="339">
        <v>35.71</v>
      </c>
      <c r="T49" s="321"/>
      <c r="U49" s="321"/>
      <c r="V49" s="321"/>
      <c r="W49" s="321"/>
      <c r="X49" s="321"/>
      <c r="Y49" s="321"/>
    </row>
    <row r="50" spans="1:25">
      <c r="A50" s="219">
        <v>22</v>
      </c>
      <c r="B50" s="162">
        <v>265</v>
      </c>
      <c r="C50" s="162">
        <v>5</v>
      </c>
      <c r="D50" s="162" t="s">
        <v>17</v>
      </c>
      <c r="E50" s="162" t="s">
        <v>18</v>
      </c>
      <c r="F50" s="219">
        <v>22</v>
      </c>
      <c r="G50" s="162" t="s">
        <v>144</v>
      </c>
      <c r="H50" s="211" t="s">
        <v>145</v>
      </c>
      <c r="I50" s="269">
        <f t="shared" si="1"/>
        <v>30.827999999999999</v>
      </c>
      <c r="J50" s="269">
        <f t="shared" si="1"/>
        <v>31.445</v>
      </c>
      <c r="K50" s="269">
        <f t="shared" si="1"/>
        <v>32.061</v>
      </c>
      <c r="L50" s="269">
        <f t="shared" si="1"/>
        <v>32.677999999999997</v>
      </c>
      <c r="M50" s="269"/>
      <c r="N50" s="269"/>
      <c r="O50" s="269"/>
      <c r="P50" s="312" t="s">
        <v>445</v>
      </c>
      <c r="Q50" s="286" t="str">
        <f t="shared" si="2"/>
        <v>10908C</v>
      </c>
      <c r="R50" s="309" t="str">
        <f t="shared" si="2"/>
        <v>Water Treatment Operator* (see below for Step)</v>
      </c>
      <c r="S50" s="321">
        <f>ROUND(IF($P50="Y",((VLOOKUP($Q50,Rates2020,3,0)+LIUNA2021)*PercIncr2021)-LIUNA2021,VLOOKUP($Q50,Rates2020,3,0)),3)</f>
        <v>30.827999999999999</v>
      </c>
      <c r="T50" s="321">
        <f>ROUND(IF($P50="Y",((VLOOKUP($Q50,Rates2020,4,0)+LIUNA2021)*PercIncr2021)-LIUNA2021,VLOOKUP($Q50,Rates2020,4,0)),3)</f>
        <v>31.445</v>
      </c>
      <c r="U50" s="321">
        <f>ROUND(IF($P50="Y",((VLOOKUP($Q50,Rates2020,5,0)+LIUNA2021)*PercIncr2021)-LIUNA2021,VLOOKUP($Q50,Rates2020,5,0)),3)</f>
        <v>32.061</v>
      </c>
      <c r="V50" s="321">
        <f>ROUND(IF($P50="Y",((VLOOKUP($Q50,Rates2020,6,0)+LIUNA2021)*PercIncr2021)-LIUNA2021,VLOOKUP($Q50,Rates2020,6,0)),3)</f>
        <v>32.677999999999997</v>
      </c>
      <c r="W50" s="321"/>
      <c r="X50" s="321"/>
      <c r="Y50" s="321"/>
    </row>
    <row r="51" spans="1:25">
      <c r="A51" s="219" t="s">
        <v>65</v>
      </c>
      <c r="B51" s="162">
        <v>253</v>
      </c>
      <c r="C51" s="162">
        <v>5</v>
      </c>
      <c r="D51" s="162" t="s">
        <v>17</v>
      </c>
      <c r="E51" s="162" t="s">
        <v>18</v>
      </c>
      <c r="F51" s="219" t="s">
        <v>65</v>
      </c>
      <c r="G51" s="162" t="s">
        <v>146</v>
      </c>
      <c r="H51" s="211" t="s">
        <v>147</v>
      </c>
      <c r="I51" s="269">
        <f t="shared" ref="I51:L52" si="4">S51</f>
        <v>25.539000000000001</v>
      </c>
      <c r="J51" s="269">
        <f t="shared" si="4"/>
        <v>26.398</v>
      </c>
      <c r="K51" s="269">
        <f t="shared" si="4"/>
        <v>27.286999999999999</v>
      </c>
      <c r="L51" s="269">
        <f t="shared" si="4"/>
        <v>28.384</v>
      </c>
      <c r="M51" s="269"/>
      <c r="N51" s="269"/>
      <c r="O51" s="269"/>
      <c r="P51" s="312" t="s">
        <v>445</v>
      </c>
      <c r="Q51" s="286" t="str">
        <f t="shared" si="2"/>
        <v>11030C</v>
      </c>
      <c r="R51" s="309" t="str">
        <f t="shared" si="2"/>
        <v>Yard Coordinator I</v>
      </c>
      <c r="S51" s="321">
        <f>ROUND(IF($P51="Y",((VLOOKUP($Q51,Rates2020,3,0)+LIUNA2021)*PercIncr2021)-LIUNA2021,VLOOKUP($Q51,Rates2020,3,0)),3)</f>
        <v>25.539000000000001</v>
      </c>
      <c r="T51" s="321">
        <f>ROUND(IF($P51="Y",((VLOOKUP($Q51,Rates2020,4,0)+LIUNA2021)*PercIncr2021)-LIUNA2021,VLOOKUP($Q51,Rates2020,4,0)),3)</f>
        <v>26.398</v>
      </c>
      <c r="U51" s="321">
        <f>ROUND(IF($P51="Y",((VLOOKUP($Q51,Rates2020,5,0)+LIUNA2021)*PercIncr2021)-LIUNA2021,VLOOKUP($Q51,Rates2020,5,0)),3)</f>
        <v>27.286999999999999</v>
      </c>
      <c r="V51" s="321">
        <f>ROUND(IF($P51="Y",((VLOOKUP($Q51,Rates2020,6,0)+LIUNA2021)*PercIncr2021)-LIUNA2021,VLOOKUP($Q51,Rates2020,6,0)),3)</f>
        <v>28.384</v>
      </c>
      <c r="W51" s="321"/>
      <c r="X51" s="321"/>
      <c r="Y51" s="321"/>
    </row>
    <row r="52" spans="1:25">
      <c r="A52" s="219">
        <v>13</v>
      </c>
      <c r="B52" s="162">
        <v>275</v>
      </c>
      <c r="C52" s="162">
        <v>6</v>
      </c>
      <c r="D52" s="162" t="s">
        <v>17</v>
      </c>
      <c r="E52" s="162" t="s">
        <v>18</v>
      </c>
      <c r="F52" s="219">
        <v>13</v>
      </c>
      <c r="G52" s="162" t="s">
        <v>148</v>
      </c>
      <c r="H52" s="211" t="s">
        <v>149</v>
      </c>
      <c r="I52" s="269">
        <f t="shared" si="4"/>
        <v>26.916</v>
      </c>
      <c r="J52" s="269">
        <f t="shared" si="4"/>
        <v>28.242000000000001</v>
      </c>
      <c r="K52" s="269">
        <f t="shared" si="4"/>
        <v>29.545999999999999</v>
      </c>
      <c r="L52" s="269">
        <f t="shared" si="4"/>
        <v>30.946999999999999</v>
      </c>
      <c r="M52" s="269"/>
      <c r="N52" s="269"/>
      <c r="O52" s="269"/>
      <c r="P52" s="312" t="s">
        <v>445</v>
      </c>
      <c r="Q52" s="286" t="str">
        <f t="shared" si="2"/>
        <v>11040C</v>
      </c>
      <c r="R52" s="309" t="str">
        <f t="shared" si="2"/>
        <v>Yard Coordinator II</v>
      </c>
      <c r="S52" s="321">
        <f>ROUND(IF($P52="Y",((VLOOKUP($Q52,Rates2020,3,0)+LIUNA2021)*PercIncr2021)-LIUNA2021,VLOOKUP($Q52,Rates2020,3,0)),3)</f>
        <v>26.916</v>
      </c>
      <c r="T52" s="321">
        <f>ROUND(IF($P52="Y",((VLOOKUP($Q52,Rates2020,4,0)+LIUNA2021)*PercIncr2021)-LIUNA2021,VLOOKUP($Q52,Rates2020,4,0)),3)</f>
        <v>28.242000000000001</v>
      </c>
      <c r="U52" s="321">
        <f>ROUND(IF($P52="Y",((VLOOKUP($Q52,Rates2020,5,0)+LIUNA2021)*PercIncr2021)-LIUNA2021,VLOOKUP($Q52,Rates2020,5,0)),3)</f>
        <v>29.545999999999999</v>
      </c>
      <c r="V52" s="321">
        <f>ROUND(IF($P52="Y",((VLOOKUP($Q52,Rates2020,6,0)+LIUNA2021)*PercIncr2021)-LIUNA2021,VLOOKUP($Q52,Rates2020,6,0)),3)</f>
        <v>30.946999999999999</v>
      </c>
      <c r="W52" s="321"/>
      <c r="X52" s="321"/>
      <c r="Y52" s="321"/>
    </row>
    <row r="53" spans="1:25">
      <c r="A53" s="219"/>
      <c r="C53" s="162"/>
      <c r="D53" s="231" t="s">
        <v>386</v>
      </c>
      <c r="E53" s="208"/>
      <c r="F53" s="219"/>
      <c r="G53" s="219"/>
      <c r="I53" s="218"/>
      <c r="J53" s="220"/>
      <c r="K53" s="220"/>
      <c r="L53" s="220"/>
      <c r="Q53" s="286"/>
      <c r="R53" s="309"/>
      <c r="S53" s="321"/>
      <c r="T53" s="321"/>
      <c r="U53" s="321"/>
      <c r="V53" s="321"/>
      <c r="W53" s="321"/>
      <c r="X53" s="321"/>
      <c r="Y53" s="321"/>
    </row>
    <row r="54" spans="1:25">
      <c r="D54" s="165" t="str">
        <f>"NOTE that in addition to the above hourly wages, a LIUNA pension fund contribution of " &amp; TEXT(LIUNA2020,"$#.###")&amp;" per hour is contributed on behalf of eligible employees."</f>
        <v>NOTE that in addition to the above hourly wages, a LIUNA pension fund contribution of $1.74 per hour is contributed on behalf of eligible employees.</v>
      </c>
      <c r="E54" s="165"/>
      <c r="I54" s="233"/>
      <c r="J54" s="162"/>
      <c r="K54" s="162"/>
      <c r="L54" s="162"/>
      <c r="M54" s="162"/>
      <c r="N54" s="162"/>
      <c r="S54" s="321"/>
      <c r="T54" s="321"/>
      <c r="U54" s="321"/>
      <c r="V54" s="321"/>
      <c r="W54" s="321"/>
      <c r="X54" s="321"/>
      <c r="Y54" s="321"/>
    </row>
    <row r="55" spans="1:25">
      <c r="D55" s="165"/>
      <c r="E55" s="165"/>
      <c r="I55" s="233"/>
      <c r="J55" s="162"/>
      <c r="K55" s="162"/>
      <c r="L55" s="162"/>
      <c r="M55" s="162"/>
      <c r="N55" s="162"/>
      <c r="S55" s="321"/>
      <c r="T55" s="321"/>
      <c r="U55" s="321"/>
      <c r="V55" s="321"/>
      <c r="W55" s="321"/>
      <c r="X55" s="321"/>
      <c r="Y55" s="321"/>
    </row>
    <row r="56" spans="1:25">
      <c r="A56" s="268"/>
      <c r="D56" s="268"/>
      <c r="E56" s="268"/>
      <c r="F56" s="268"/>
      <c r="G56" s="268"/>
      <c r="H56" s="268"/>
      <c r="I56" s="268"/>
      <c r="J56" s="268"/>
      <c r="K56" s="268"/>
      <c r="L56" s="268"/>
      <c r="M56" s="268"/>
      <c r="N56" s="268"/>
      <c r="O56" s="268"/>
      <c r="S56" s="321"/>
      <c r="T56" s="321"/>
      <c r="U56" s="321"/>
      <c r="V56" s="321"/>
      <c r="W56" s="321"/>
      <c r="X56" s="321"/>
      <c r="Y56" s="321"/>
    </row>
    <row r="57" spans="1:25">
      <c r="A57" s="650"/>
      <c r="D57" s="650"/>
      <c r="E57" s="650"/>
      <c r="F57" s="650"/>
      <c r="G57" s="650"/>
      <c r="H57" s="650"/>
      <c r="I57" s="650"/>
      <c r="J57" s="650"/>
      <c r="K57" s="650"/>
      <c r="L57" s="650"/>
      <c r="M57" s="650"/>
      <c r="N57" s="650"/>
      <c r="O57" s="650"/>
      <c r="S57" s="321"/>
      <c r="T57" s="321"/>
      <c r="U57" s="321"/>
      <c r="V57" s="321"/>
      <c r="W57" s="321"/>
      <c r="X57" s="321"/>
      <c r="Y57" s="321"/>
    </row>
    <row r="58" spans="1:25">
      <c r="D58" s="234" t="s">
        <v>344</v>
      </c>
      <c r="E58" s="234"/>
      <c r="I58" s="233"/>
      <c r="J58" s="162"/>
      <c r="K58" s="162"/>
      <c r="L58" s="162"/>
      <c r="M58" s="162"/>
      <c r="N58" s="162"/>
      <c r="R58" s="310"/>
      <c r="S58" s="321"/>
      <c r="T58" s="321"/>
      <c r="U58" s="321"/>
      <c r="V58" s="321"/>
      <c r="W58" s="321"/>
      <c r="X58" s="321"/>
      <c r="Y58" s="321"/>
    </row>
    <row r="59" spans="1:25">
      <c r="D59" s="234"/>
      <c r="E59" s="234"/>
      <c r="G59" s="162" t="s">
        <v>154</v>
      </c>
      <c r="H59" s="211" t="s">
        <v>457</v>
      </c>
      <c r="I59" s="233"/>
      <c r="J59" s="162"/>
      <c r="K59" s="162"/>
      <c r="L59" s="162"/>
      <c r="M59" s="162"/>
      <c r="N59" s="162"/>
      <c r="R59" s="310"/>
      <c r="S59" s="321"/>
      <c r="T59" s="321"/>
      <c r="U59" s="321"/>
      <c r="V59" s="321"/>
      <c r="W59" s="321"/>
      <c r="X59" s="321"/>
      <c r="Y59" s="321"/>
    </row>
    <row r="60" spans="1:25">
      <c r="D60" s="234"/>
      <c r="E60" s="234"/>
      <c r="G60" s="162" t="s">
        <v>156</v>
      </c>
      <c r="H60" s="211" t="s">
        <v>458</v>
      </c>
      <c r="I60" s="233"/>
      <c r="J60" s="162"/>
      <c r="K60" s="162"/>
      <c r="L60" s="162"/>
      <c r="M60" s="162"/>
      <c r="N60" s="162"/>
      <c r="R60" s="310"/>
      <c r="S60" s="321"/>
      <c r="T60" s="321"/>
      <c r="U60" s="321"/>
      <c r="V60" s="321"/>
      <c r="W60" s="321"/>
      <c r="X60" s="321"/>
      <c r="Y60" s="321"/>
    </row>
    <row r="61" spans="1:25">
      <c r="D61" s="234"/>
      <c r="E61" s="234"/>
      <c r="G61" s="162" t="s">
        <v>158</v>
      </c>
      <c r="H61" s="211" t="s">
        <v>459</v>
      </c>
      <c r="I61" s="233"/>
      <c r="J61" s="162"/>
      <c r="K61" s="162"/>
      <c r="L61" s="162"/>
      <c r="M61" s="162"/>
      <c r="N61" s="162"/>
      <c r="R61" s="310"/>
      <c r="S61" s="321"/>
      <c r="T61" s="321"/>
      <c r="U61" s="321"/>
      <c r="V61" s="321"/>
      <c r="W61" s="321"/>
      <c r="X61" s="321"/>
      <c r="Y61" s="321"/>
    </row>
    <row r="62" spans="1:25">
      <c r="D62" s="165"/>
      <c r="E62" s="165"/>
      <c r="I62" s="233"/>
      <c r="J62" s="162"/>
      <c r="K62" s="162"/>
      <c r="L62" s="162"/>
      <c r="M62" s="162"/>
      <c r="N62" s="162"/>
      <c r="S62" s="321"/>
      <c r="T62" s="321"/>
      <c r="U62" s="321"/>
      <c r="V62" s="321"/>
      <c r="W62" s="321"/>
      <c r="X62" s="321"/>
      <c r="Y62" s="321"/>
    </row>
    <row r="63" spans="1:25">
      <c r="D63" s="234" t="s">
        <v>345</v>
      </c>
      <c r="E63" s="234"/>
      <c r="I63" s="233"/>
      <c r="J63" s="162"/>
      <c r="K63" s="162"/>
      <c r="L63" s="162"/>
      <c r="M63" s="162"/>
      <c r="N63" s="162"/>
      <c r="Q63" s="278"/>
      <c r="R63" s="310"/>
      <c r="S63" s="321"/>
      <c r="T63" s="321"/>
      <c r="U63" s="321"/>
      <c r="V63" s="321"/>
      <c r="W63" s="321"/>
      <c r="X63" s="321"/>
      <c r="Y63" s="321"/>
    </row>
    <row r="64" spans="1:25">
      <c r="D64" s="163"/>
      <c r="E64" s="163"/>
      <c r="F64" s="159" t="s">
        <v>163</v>
      </c>
      <c r="G64" s="162" t="s">
        <v>154</v>
      </c>
      <c r="H64" s="211" t="s">
        <v>164</v>
      </c>
      <c r="I64" s="208"/>
      <c r="J64" s="162"/>
      <c r="K64" s="162"/>
      <c r="L64" s="162"/>
      <c r="M64" s="162"/>
      <c r="N64" s="162"/>
      <c r="Q64" s="278"/>
      <c r="R64" s="310"/>
      <c r="S64" s="321"/>
      <c r="T64" s="321"/>
      <c r="U64" s="321"/>
      <c r="V64" s="321"/>
      <c r="W64" s="321"/>
      <c r="X64" s="321"/>
      <c r="Y64" s="321"/>
    </row>
    <row r="65" spans="1:30">
      <c r="D65" s="163"/>
      <c r="E65" s="163"/>
      <c r="F65" s="159" t="s">
        <v>165</v>
      </c>
      <c r="G65" s="162" t="s">
        <v>156</v>
      </c>
      <c r="H65" s="211" t="s">
        <v>166</v>
      </c>
      <c r="I65" s="208"/>
      <c r="J65" s="162"/>
      <c r="K65" s="162"/>
      <c r="L65" s="162"/>
      <c r="M65" s="162"/>
      <c r="N65" s="162"/>
      <c r="Q65" s="278"/>
      <c r="R65" s="310"/>
      <c r="S65" s="321"/>
      <c r="T65" s="321"/>
      <c r="U65" s="321"/>
      <c r="V65" s="321"/>
      <c r="W65" s="321"/>
      <c r="X65" s="321"/>
      <c r="Y65" s="321"/>
    </row>
    <row r="66" spans="1:30">
      <c r="D66" s="163"/>
      <c r="E66" s="163"/>
      <c r="F66" s="159" t="s">
        <v>167</v>
      </c>
      <c r="G66" s="162" t="s">
        <v>158</v>
      </c>
      <c r="H66" s="211" t="s">
        <v>168</v>
      </c>
      <c r="I66" s="208"/>
      <c r="J66" s="162"/>
      <c r="K66" s="162"/>
      <c r="L66" s="162"/>
      <c r="M66" s="162"/>
      <c r="N66" s="162"/>
      <c r="O66" s="162"/>
      <c r="Q66" s="278"/>
      <c r="R66" s="310"/>
      <c r="S66" s="321"/>
      <c r="T66" s="321"/>
      <c r="U66" s="321"/>
      <c r="V66" s="321"/>
      <c r="W66" s="321"/>
      <c r="X66" s="321"/>
      <c r="Y66" s="321"/>
    </row>
    <row r="67" spans="1:30">
      <c r="D67" s="163"/>
      <c r="E67" s="163"/>
      <c r="F67" s="159" t="s">
        <v>169</v>
      </c>
      <c r="G67" s="162" t="s">
        <v>170</v>
      </c>
      <c r="H67" s="211" t="s">
        <v>171</v>
      </c>
      <c r="I67" s="208"/>
      <c r="J67" s="162"/>
      <c r="K67" s="162"/>
      <c r="L67" s="162"/>
      <c r="M67" s="162"/>
      <c r="N67" s="162"/>
      <c r="Q67" s="278"/>
      <c r="R67" s="310"/>
      <c r="S67" s="321"/>
      <c r="T67" s="321"/>
      <c r="U67" s="321"/>
      <c r="V67" s="321"/>
      <c r="W67" s="321"/>
      <c r="X67" s="321"/>
      <c r="Y67" s="321"/>
    </row>
    <row r="68" spans="1:30">
      <c r="D68" s="163"/>
      <c r="E68" s="163"/>
      <c r="G68" s="162"/>
      <c r="I68" s="208"/>
      <c r="J68" s="162"/>
      <c r="K68" s="162"/>
      <c r="L68" s="162"/>
      <c r="M68" s="162"/>
      <c r="N68" s="162"/>
      <c r="Q68" s="278"/>
      <c r="R68" s="310"/>
      <c r="S68" s="321"/>
      <c r="T68" s="321"/>
      <c r="U68" s="321"/>
      <c r="V68" s="321"/>
      <c r="W68" s="321"/>
      <c r="X68" s="321"/>
      <c r="Y68" s="321"/>
    </row>
    <row r="69" spans="1:30">
      <c r="A69" s="83"/>
      <c r="D69" s="235" t="s">
        <v>346</v>
      </c>
      <c r="E69" s="163"/>
      <c r="F69" s="83"/>
      <c r="G69" s="83"/>
      <c r="I69" s="233"/>
      <c r="J69" s="162"/>
      <c r="K69" s="162"/>
      <c r="L69" s="162"/>
      <c r="M69" s="162"/>
      <c r="N69" s="162"/>
      <c r="S69" s="321"/>
      <c r="T69" s="321"/>
      <c r="U69" s="321"/>
      <c r="V69" s="321"/>
      <c r="W69" s="321"/>
      <c r="X69" s="321"/>
      <c r="Y69" s="321"/>
    </row>
    <row r="70" spans="1:30" s="159" customFormat="1">
      <c r="D70" s="317" t="s">
        <v>447</v>
      </c>
      <c r="E70" s="210"/>
      <c r="F70" s="159" t="s">
        <v>174</v>
      </c>
      <c r="H70" s="163" t="str">
        <f>"Plant Service Workers who hold a Class 'D' Water Supply Certificate shall receive an additional "&amp;TEXT(S70,"$0.000")&amp;" per hour for all hours paid."</f>
        <v>Plant Service Workers who hold a Class 'D' Water Supply Certificate shall receive an additional $0.266 per hour for all hours paid.</v>
      </c>
      <c r="I70" s="233"/>
      <c r="J70" s="162"/>
      <c r="K70" s="162"/>
      <c r="L70" s="162"/>
      <c r="M70" s="162"/>
      <c r="N70" s="162"/>
      <c r="P70" s="279" t="s">
        <v>445</v>
      </c>
      <c r="Q70" s="279" t="s">
        <v>389</v>
      </c>
      <c r="R70" s="279" t="s">
        <v>390</v>
      </c>
      <c r="S70" s="321">
        <f>IF(P70="Y",VLOOKUP(Q70,Rates2020,3,0)*PercIncr2021,VLOOKUP(Q70,Rates2020,3,0))</f>
        <v>0.26581638343749997</v>
      </c>
      <c r="T70" s="321"/>
      <c r="U70" s="321"/>
      <c r="V70" s="321"/>
      <c r="W70" s="321"/>
      <c r="X70" s="321"/>
      <c r="Y70" s="321"/>
      <c r="Z70" s="208"/>
      <c r="AA70" s="208"/>
      <c r="AB70" s="208"/>
      <c r="AC70" s="208"/>
      <c r="AD70" s="208"/>
    </row>
    <row r="71" spans="1:30" s="159" customFormat="1">
      <c r="D71" s="210"/>
      <c r="E71" s="210"/>
      <c r="H71" s="211"/>
      <c r="I71" s="233"/>
      <c r="J71" s="162"/>
      <c r="K71" s="162"/>
      <c r="L71" s="162"/>
      <c r="M71" s="162"/>
      <c r="N71" s="162"/>
      <c r="P71" s="279"/>
      <c r="Q71" s="279"/>
      <c r="R71" s="279"/>
      <c r="S71" s="284"/>
      <c r="T71" s="284"/>
      <c r="U71" s="321"/>
      <c r="V71" s="321"/>
      <c r="W71" s="321"/>
      <c r="X71" s="321"/>
      <c r="Y71" s="321"/>
      <c r="Z71" s="208"/>
      <c r="AA71" s="208"/>
      <c r="AB71" s="208"/>
      <c r="AC71" s="208"/>
      <c r="AD71" s="208"/>
    </row>
    <row r="72" spans="1:30" s="159" customFormat="1">
      <c r="D72" s="163" t="s">
        <v>348</v>
      </c>
      <c r="E72" s="314"/>
      <c r="F72" s="315"/>
      <c r="G72" s="315"/>
      <c r="H72" s="316"/>
      <c r="I72" s="233"/>
      <c r="J72" s="162"/>
      <c r="K72" s="162"/>
      <c r="L72" s="162"/>
      <c r="M72" s="162"/>
      <c r="N72" s="162"/>
      <c r="P72" s="279"/>
      <c r="Q72" s="279"/>
      <c r="R72" s="279"/>
      <c r="S72" s="284"/>
      <c r="T72" s="284"/>
      <c r="U72" s="321"/>
      <c r="V72" s="321"/>
      <c r="W72" s="321"/>
      <c r="X72" s="321"/>
      <c r="Y72" s="321"/>
      <c r="Z72" s="208"/>
      <c r="AA72" s="208"/>
      <c r="AB72" s="208"/>
      <c r="AC72" s="208"/>
      <c r="AD72" s="208"/>
    </row>
    <row r="73" spans="1:30" s="159" customFormat="1">
      <c r="D73" s="163" t="s">
        <v>176</v>
      </c>
      <c r="E73" s="163"/>
      <c r="H73" s="211"/>
      <c r="I73" s="233"/>
      <c r="J73" s="162"/>
      <c r="K73" s="162"/>
      <c r="L73" s="162"/>
      <c r="M73" s="162"/>
      <c r="N73" s="162"/>
      <c r="P73" s="279"/>
      <c r="Q73" s="279"/>
      <c r="R73" s="279"/>
      <c r="S73" s="284"/>
      <c r="T73" s="284"/>
      <c r="U73" s="321"/>
      <c r="V73" s="321"/>
      <c r="W73" s="321"/>
      <c r="X73" s="321"/>
      <c r="Y73" s="321"/>
      <c r="Z73" s="208"/>
      <c r="AA73" s="208"/>
      <c r="AB73" s="208"/>
      <c r="AC73" s="208"/>
      <c r="AD73" s="208"/>
    </row>
    <row r="74" spans="1:30" s="159" customFormat="1">
      <c r="D74" s="210"/>
      <c r="E74" s="210"/>
      <c r="H74" s="160"/>
      <c r="I74" s="236"/>
      <c r="J74" s="162"/>
      <c r="K74" s="162"/>
      <c r="L74" s="162"/>
      <c r="M74" s="162"/>
      <c r="N74" s="162"/>
      <c r="P74" s="279"/>
      <c r="Q74" s="279"/>
      <c r="R74" s="279"/>
      <c r="S74" s="284"/>
      <c r="T74" s="284"/>
      <c r="U74" s="321"/>
      <c r="V74" s="321"/>
      <c r="W74" s="321"/>
      <c r="X74" s="321"/>
      <c r="Y74" s="321"/>
      <c r="Z74" s="208"/>
      <c r="AA74" s="208"/>
      <c r="AB74" s="208"/>
      <c r="AC74" s="208"/>
      <c r="AD74" s="208"/>
    </row>
    <row r="75" spans="1:30">
      <c r="D75" s="234" t="s">
        <v>448</v>
      </c>
      <c r="E75" s="234"/>
      <c r="H75" s="159" t="s">
        <v>449</v>
      </c>
      <c r="I75" s="236"/>
      <c r="J75" s="83"/>
      <c r="K75" s="83"/>
      <c r="L75" s="161"/>
      <c r="M75" s="162"/>
      <c r="N75" s="162"/>
      <c r="P75" s="279" t="s">
        <v>445</v>
      </c>
      <c r="Q75" s="279" t="s">
        <v>391</v>
      </c>
      <c r="R75" s="279" t="s">
        <v>392</v>
      </c>
      <c r="S75" s="321">
        <f>IF(P75="Y",VLOOKUP(Q75,Rates2020,3,0)*PercIncr2021,VLOOKUP(Q75,Rates2020,3,0))</f>
        <v>1.9790140125</v>
      </c>
      <c r="T75" s="284"/>
      <c r="U75" s="321"/>
      <c r="V75" s="321"/>
      <c r="W75" s="321"/>
      <c r="X75" s="321"/>
      <c r="Y75" s="321"/>
    </row>
    <row r="76" spans="1:30">
      <c r="A76" s="164"/>
      <c r="D76" s="163" t="str">
        <f>"duties, and shall receive a premium of "&amp;TEXT(S75,"$0.000" )&amp;" per hour on a 'as worked' basis when so assigned."</f>
        <v>duties, and shall receive a premium of $1.979 per hour on a 'as worked' basis when so assigned.</v>
      </c>
      <c r="E76" s="164"/>
      <c r="F76" s="164"/>
      <c r="H76" s="160"/>
      <c r="I76" s="159"/>
      <c r="J76" s="83"/>
      <c r="K76" s="83"/>
      <c r="L76" s="161"/>
      <c r="M76" s="162"/>
      <c r="N76" s="162"/>
      <c r="Q76" s="279"/>
      <c r="R76" s="279"/>
      <c r="S76" s="284"/>
      <c r="T76" s="284"/>
      <c r="U76" s="321"/>
      <c r="V76" s="321"/>
      <c r="W76" s="321"/>
      <c r="X76" s="321"/>
      <c r="Y76" s="321"/>
    </row>
    <row r="77" spans="1:30">
      <c r="A77" s="164"/>
      <c r="D77" s="163"/>
      <c r="E77" s="164"/>
      <c r="F77" s="164"/>
      <c r="H77" s="160"/>
      <c r="I77" s="159"/>
      <c r="J77" s="83"/>
      <c r="K77" s="83"/>
      <c r="L77" s="161"/>
      <c r="M77" s="162"/>
      <c r="N77" s="162"/>
      <c r="Q77" s="279"/>
      <c r="R77" s="279"/>
      <c r="S77" s="284"/>
      <c r="T77" s="284"/>
      <c r="U77" s="321"/>
      <c r="V77" s="321"/>
      <c r="W77" s="321"/>
      <c r="X77" s="321"/>
      <c r="Y77" s="321"/>
    </row>
    <row r="78" spans="1:30">
      <c r="D78" s="237" t="s">
        <v>242</v>
      </c>
      <c r="E78" s="217"/>
      <c r="Q78" s="279"/>
      <c r="R78" s="279"/>
      <c r="S78" s="284"/>
      <c r="T78" s="284"/>
      <c r="U78" s="321"/>
      <c r="V78" s="321"/>
      <c r="W78" s="321"/>
      <c r="X78" s="321"/>
      <c r="Y78" s="321"/>
    </row>
    <row r="79" spans="1:30">
      <c r="D79" s="238" t="s">
        <v>351</v>
      </c>
      <c r="E79" s="238"/>
      <c r="H79" s="217"/>
      <c r="I79" s="239"/>
      <c r="J79" s="213"/>
      <c r="Q79" s="279"/>
      <c r="R79" s="279"/>
      <c r="S79" s="284"/>
      <c r="T79" s="284"/>
      <c r="U79" s="321"/>
      <c r="V79" s="321"/>
      <c r="W79" s="321"/>
      <c r="X79" s="321"/>
      <c r="Y79" s="321"/>
    </row>
    <row r="80" spans="1:30">
      <c r="D80" s="238" t="str">
        <f>"premium of "&amp;TEXT(S80,"$0.000")&amp;" per hour for all hours spent training shall be paid.  The employer will establish strict assignment protocol."</f>
        <v>premium of $3.331 per hour for all hours spent training shall be paid.  The employer will establish strict assignment protocol.</v>
      </c>
      <c r="E80" s="238"/>
      <c r="H80" s="217"/>
      <c r="I80" s="239"/>
      <c r="J80" s="164"/>
      <c r="K80" s="164"/>
      <c r="L80" s="208"/>
      <c r="M80" s="208"/>
      <c r="N80" s="208"/>
      <c r="P80" s="279" t="s">
        <v>445</v>
      </c>
      <c r="Q80" s="288" t="s">
        <v>394</v>
      </c>
      <c r="R80" s="288" t="s">
        <v>395</v>
      </c>
      <c r="S80" s="321">
        <f>IF(P80="Y",VLOOKUP(Q80,Rates2020,3,0)*PercIncr2021,VLOOKUP(Q80,Rates2020,3,0))</f>
        <v>3.3312109172387503</v>
      </c>
      <c r="T80" s="321"/>
      <c r="U80" s="321"/>
      <c r="V80" s="321"/>
      <c r="W80" s="321"/>
      <c r="X80" s="321"/>
      <c r="Y80" s="321"/>
    </row>
    <row r="81" spans="1:25">
      <c r="D81" s="238"/>
      <c r="E81" s="238"/>
      <c r="I81" s="218"/>
      <c r="J81" s="220"/>
      <c r="M81" s="220"/>
      <c r="Q81" s="279"/>
      <c r="R81" s="279"/>
      <c r="S81" s="284"/>
      <c r="T81" s="284"/>
      <c r="U81" s="321"/>
      <c r="V81" s="321"/>
      <c r="W81" s="321"/>
      <c r="X81" s="321"/>
      <c r="Y81" s="321"/>
    </row>
    <row r="82" spans="1:25">
      <c r="A82" s="209"/>
      <c r="D82" s="237" t="s">
        <v>246</v>
      </c>
      <c r="E82" s="217"/>
      <c r="F82" s="209"/>
      <c r="G82" s="209"/>
      <c r="I82" s="218"/>
      <c r="J82" s="220"/>
      <c r="M82" s="220"/>
      <c r="Q82" s="279"/>
      <c r="R82" s="279"/>
      <c r="S82" s="284"/>
      <c r="T82" s="284"/>
      <c r="U82" s="321"/>
      <c r="V82" s="321"/>
      <c r="W82" s="321"/>
      <c r="X82" s="321"/>
      <c r="Y82" s="321"/>
    </row>
    <row r="83" spans="1:25">
      <c r="A83" s="209"/>
      <c r="D83" s="318" t="s">
        <v>450</v>
      </c>
      <c r="E83" s="238"/>
      <c r="F83" s="209"/>
      <c r="G83" s="209"/>
      <c r="H83" s="160" t="str">
        <f>"shall receive a premium of "&amp;TEXT(S83,"$0.000")&amp;" per hour for all hours worked performing Bio-Hazard Clean-up duties. "</f>
        <v xml:space="preserve">shall receive a premium of $0.848 per hour for all hours worked performing Bio-Hazard Clean-up duties. </v>
      </c>
      <c r="I83" s="164"/>
      <c r="J83" s="164"/>
      <c r="K83" s="240"/>
      <c r="L83" s="211"/>
      <c r="M83" s="162"/>
      <c r="N83" s="162"/>
      <c r="P83" s="279" t="s">
        <v>445</v>
      </c>
      <c r="Q83" s="279" t="s">
        <v>398</v>
      </c>
      <c r="R83" s="279" t="s">
        <v>399</v>
      </c>
      <c r="S83" s="321">
        <f>IF(P83="Y",VLOOKUP(Q83,Rates2020,3,0)*PercIncr2021,VLOOKUP(Q83,Rates2020,3,0))</f>
        <v>0.84770363999999998</v>
      </c>
      <c r="T83" s="284"/>
      <c r="U83" s="321"/>
      <c r="V83" s="321"/>
      <c r="W83" s="321"/>
      <c r="X83" s="321"/>
      <c r="Y83" s="321"/>
    </row>
    <row r="84" spans="1:25">
      <c r="A84" s="164"/>
      <c r="D84" s="163"/>
      <c r="E84" s="164"/>
      <c r="F84" s="164"/>
      <c r="H84" s="160"/>
      <c r="I84" s="159"/>
      <c r="J84" s="83"/>
      <c r="K84" s="83"/>
      <c r="L84" s="161"/>
      <c r="M84" s="162"/>
      <c r="N84" s="162"/>
      <c r="S84" s="321"/>
      <c r="T84" s="321"/>
      <c r="U84" s="321"/>
      <c r="V84" s="321"/>
      <c r="W84" s="321"/>
      <c r="X84" s="321"/>
      <c r="Y84" s="321"/>
    </row>
    <row r="85" spans="1:25">
      <c r="A85" s="83"/>
      <c r="D85" s="166" t="s">
        <v>400</v>
      </c>
      <c r="E85" s="166"/>
      <c r="F85" s="83"/>
      <c r="G85" s="83"/>
      <c r="H85" s="160"/>
      <c r="J85" s="241"/>
      <c r="K85" s="241"/>
      <c r="L85" s="242"/>
      <c r="M85" s="162"/>
      <c r="N85" s="162"/>
      <c r="Q85" s="279"/>
      <c r="R85" s="279"/>
      <c r="S85" s="284"/>
      <c r="T85" s="284"/>
      <c r="U85" s="325"/>
      <c r="V85" s="325"/>
      <c r="W85" s="325"/>
      <c r="X85" s="321"/>
      <c r="Y85" s="321"/>
    </row>
    <row r="86" spans="1:25" s="231" customFormat="1" ht="39" customHeight="1">
      <c r="A86" s="243"/>
      <c r="C86" s="209"/>
      <c r="D86" s="291" t="s">
        <v>188</v>
      </c>
      <c r="E86" s="241"/>
      <c r="F86" s="243"/>
      <c r="G86" s="243"/>
      <c r="H86" s="160"/>
      <c r="I86" s="167"/>
      <c r="L86" s="244" t="s">
        <v>451</v>
      </c>
      <c r="M86" s="244" t="s">
        <v>452</v>
      </c>
      <c r="N86" s="162"/>
      <c r="O86" s="159"/>
      <c r="P86" s="279"/>
      <c r="Q86" s="279"/>
      <c r="R86" s="279"/>
      <c r="S86" s="284"/>
      <c r="T86" s="284"/>
      <c r="U86" s="321"/>
      <c r="V86" s="321"/>
      <c r="W86" s="321"/>
      <c r="X86" s="325"/>
      <c r="Y86" s="325"/>
    </row>
    <row r="87" spans="1:25">
      <c r="A87" s="83"/>
      <c r="D87" s="160" t="s">
        <v>191</v>
      </c>
      <c r="E87" s="160"/>
      <c r="F87" s="83"/>
      <c r="G87" s="83"/>
      <c r="H87" s="160"/>
      <c r="J87" s="208"/>
      <c r="K87" s="208"/>
      <c r="L87" s="269">
        <f>S87</f>
        <v>0.49371669166726162</v>
      </c>
      <c r="M87" s="269"/>
      <c r="N87" s="162"/>
      <c r="P87" s="279" t="s">
        <v>445</v>
      </c>
      <c r="Q87" s="279" t="s">
        <v>403</v>
      </c>
      <c r="R87" s="279" t="s">
        <v>404</v>
      </c>
      <c r="S87" s="321">
        <f>IF(P87="Y",VLOOKUP(Q87,Rates2020,3,0)*PercIncr2021,VLOOKUP(Q87,Rates2020,3,0))</f>
        <v>0.49371669166726162</v>
      </c>
      <c r="T87" s="284"/>
      <c r="U87" s="321"/>
      <c r="V87" s="321"/>
      <c r="W87" s="321"/>
      <c r="X87" s="321"/>
      <c r="Y87" s="321"/>
    </row>
    <row r="88" spans="1:25">
      <c r="A88" s="83"/>
      <c r="D88" s="160" t="s">
        <v>355</v>
      </c>
      <c r="E88" s="160"/>
      <c r="F88" s="83"/>
      <c r="G88" s="83"/>
      <c r="H88" s="160"/>
      <c r="J88" s="208"/>
      <c r="K88" s="208"/>
      <c r="L88" s="269">
        <f>S88</f>
        <v>0.72693791483865178</v>
      </c>
      <c r="M88" s="269">
        <f>S89</f>
        <v>1.3811820381934383</v>
      </c>
      <c r="N88" s="162"/>
      <c r="P88" s="279" t="s">
        <v>445</v>
      </c>
      <c r="Q88" s="279" t="s">
        <v>405</v>
      </c>
      <c r="R88" s="279" t="s">
        <v>406</v>
      </c>
      <c r="S88" s="321">
        <f>IF(P88="Y",VLOOKUP(Q88,Rates2020,3,0)*PercIncr2021,VLOOKUP(Q88,Rates2020,3,0))</f>
        <v>0.72693791483865178</v>
      </c>
      <c r="T88" s="284"/>
      <c r="U88" s="321"/>
      <c r="V88" s="321"/>
      <c r="W88" s="321"/>
      <c r="X88" s="321"/>
      <c r="Y88" s="321"/>
    </row>
    <row r="89" spans="1:25" hidden="1">
      <c r="A89" s="83"/>
      <c r="D89" s="160"/>
      <c r="E89" s="160"/>
      <c r="F89" s="83"/>
      <c r="G89" s="83"/>
      <c r="H89" s="160"/>
      <c r="J89" s="208"/>
      <c r="K89" s="208"/>
      <c r="L89" s="220"/>
      <c r="M89" s="220"/>
      <c r="N89" s="162"/>
      <c r="P89" s="279" t="s">
        <v>445</v>
      </c>
      <c r="Q89" s="279" t="s">
        <v>407</v>
      </c>
      <c r="R89" s="279" t="s">
        <v>408</v>
      </c>
      <c r="S89" s="321">
        <f>IF(P89="Y",VLOOKUP(Q89,Rates2020,3,0)*PercIncr2021,VLOOKUP(Q89,Rates2020,3,0))</f>
        <v>1.3811820381934383</v>
      </c>
      <c r="T89" s="284"/>
      <c r="U89" s="321"/>
      <c r="V89" s="321"/>
      <c r="W89" s="321"/>
      <c r="X89" s="321"/>
      <c r="Y89" s="321"/>
    </row>
    <row r="90" spans="1:25">
      <c r="A90" s="83"/>
      <c r="D90" s="83" t="s">
        <v>193</v>
      </c>
      <c r="E90" s="83"/>
      <c r="F90" s="83"/>
      <c r="G90" s="83"/>
      <c r="H90" s="160"/>
      <c r="J90" s="208"/>
      <c r="K90" s="208"/>
      <c r="L90" s="269" t="s">
        <v>194</v>
      </c>
      <c r="M90" s="269">
        <f>S91</f>
        <v>1.1841486276706972</v>
      </c>
      <c r="N90" s="162"/>
      <c r="Q90" s="278"/>
      <c r="R90" s="278"/>
      <c r="S90" s="321"/>
      <c r="T90" s="284"/>
      <c r="U90" s="321"/>
      <c r="V90" s="321"/>
      <c r="W90" s="321"/>
      <c r="X90" s="321"/>
      <c r="Y90" s="321"/>
    </row>
    <row r="91" spans="1:25">
      <c r="A91" s="83"/>
      <c r="D91" s="160" t="s">
        <v>195</v>
      </c>
      <c r="E91" s="160"/>
      <c r="F91" s="83"/>
      <c r="G91" s="83"/>
      <c r="H91" s="160"/>
      <c r="J91" s="208"/>
      <c r="K91" s="208"/>
      <c r="L91" s="269">
        <f>S92</f>
        <v>2.0354261615482256</v>
      </c>
      <c r="M91" s="269"/>
      <c r="N91" s="162"/>
      <c r="P91" s="279" t="s">
        <v>445</v>
      </c>
      <c r="Q91" s="279" t="s">
        <v>409</v>
      </c>
      <c r="R91" s="279" t="s">
        <v>410</v>
      </c>
      <c r="S91" s="321">
        <f>IF(P91="Y",VLOOKUP(Q91,Rates2020,3,0)*PercIncr2021,VLOOKUP(Q91,Rates2020,3,0))</f>
        <v>1.1841486276706972</v>
      </c>
      <c r="T91" s="284"/>
      <c r="U91" s="321"/>
      <c r="V91" s="321"/>
      <c r="W91" s="321"/>
      <c r="X91" s="321"/>
      <c r="Y91" s="321"/>
    </row>
    <row r="92" spans="1:25">
      <c r="A92" s="83"/>
      <c r="D92" s="83" t="s">
        <v>196</v>
      </c>
      <c r="E92" s="83"/>
      <c r="F92" s="83"/>
      <c r="G92" s="83"/>
      <c r="H92" s="160"/>
      <c r="I92" s="236"/>
      <c r="J92" s="208"/>
      <c r="K92" s="208"/>
      <c r="L92" s="269">
        <f t="shared" ref="L92:L93" si="5">S93</f>
        <v>1.8173447870966299</v>
      </c>
      <c r="M92" s="249"/>
      <c r="N92" s="162"/>
      <c r="P92" s="279" t="s">
        <v>445</v>
      </c>
      <c r="Q92" s="279" t="s">
        <v>411</v>
      </c>
      <c r="R92" s="279" t="s">
        <v>412</v>
      </c>
      <c r="S92" s="321">
        <f>IF(P92="Y",VLOOKUP(Q92,Rates2020,3,0)*PercIncr2021,VLOOKUP(Q92,Rates2020,3,0))</f>
        <v>2.0354261615482256</v>
      </c>
      <c r="T92" s="284"/>
      <c r="U92" s="321"/>
      <c r="V92" s="321"/>
      <c r="W92" s="321"/>
      <c r="X92" s="321"/>
      <c r="Y92" s="321"/>
    </row>
    <row r="93" spans="1:25">
      <c r="A93" s="83"/>
      <c r="D93" s="83" t="s">
        <v>197</v>
      </c>
      <c r="E93" s="83"/>
      <c r="F93" s="83"/>
      <c r="G93" s="83"/>
      <c r="H93" s="160"/>
      <c r="I93" s="236"/>
      <c r="J93" s="208"/>
      <c r="K93" s="208"/>
      <c r="L93" s="269">
        <f t="shared" si="5"/>
        <v>0.72693791483865178</v>
      </c>
      <c r="M93" s="249"/>
      <c r="N93" s="162"/>
      <c r="P93" s="279" t="s">
        <v>445</v>
      </c>
      <c r="Q93" s="279" t="s">
        <v>413</v>
      </c>
      <c r="R93" s="279" t="s">
        <v>414</v>
      </c>
      <c r="S93" s="321">
        <f>IF(P93="Y",VLOOKUP(Q93,Rates2020,3,0)*PercIncr2021,VLOOKUP(Q93,Rates2020,3,0))</f>
        <v>1.8173447870966299</v>
      </c>
      <c r="T93" s="284"/>
      <c r="U93" s="321"/>
      <c r="V93" s="321"/>
      <c r="W93" s="321"/>
      <c r="X93" s="321"/>
      <c r="Y93" s="321"/>
    </row>
    <row r="94" spans="1:25">
      <c r="A94" s="83"/>
      <c r="D94" s="83"/>
      <c r="E94" s="83"/>
      <c r="F94" s="83"/>
      <c r="G94" s="83"/>
      <c r="H94" s="160"/>
      <c r="I94" s="236"/>
      <c r="J94" s="83"/>
      <c r="K94" s="83"/>
      <c r="L94" s="83"/>
      <c r="M94" s="162"/>
      <c r="N94" s="162"/>
      <c r="P94" s="279" t="s">
        <v>445</v>
      </c>
      <c r="Q94" s="279" t="s">
        <v>415</v>
      </c>
      <c r="R94" s="279" t="s">
        <v>416</v>
      </c>
      <c r="S94" s="321">
        <f>IF(P94="Y",VLOOKUP(Q94,Rates2020,3,0)*PercIncr2021,VLOOKUP(Q94,Rates2020,3,0))</f>
        <v>0.72693791483865178</v>
      </c>
      <c r="T94" s="284"/>
      <c r="U94" s="321"/>
      <c r="V94" s="321"/>
      <c r="W94" s="321"/>
      <c r="X94" s="321"/>
      <c r="Y94" s="321"/>
    </row>
    <row r="95" spans="1:25">
      <c r="A95" s="83"/>
      <c r="D95" s="234" t="s">
        <v>198</v>
      </c>
      <c r="E95" s="234"/>
      <c r="F95" s="83"/>
      <c r="G95" s="83"/>
      <c r="H95" s="160"/>
      <c r="I95" s="236"/>
      <c r="J95" s="83"/>
      <c r="K95" s="83"/>
      <c r="L95" s="83"/>
      <c r="M95" s="162"/>
      <c r="N95" s="162"/>
      <c r="S95" s="321"/>
      <c r="T95" s="284"/>
      <c r="U95" s="321"/>
      <c r="V95" s="321"/>
      <c r="W95" s="321"/>
      <c r="X95" s="321"/>
      <c r="Y95" s="321"/>
    </row>
    <row r="96" spans="1:25">
      <c r="A96" s="170"/>
      <c r="D96" s="165" t="s">
        <v>199</v>
      </c>
      <c r="E96" s="232"/>
      <c r="F96" s="170"/>
      <c r="G96" s="170"/>
      <c r="H96" s="245"/>
      <c r="I96" s="170"/>
      <c r="J96" s="170"/>
      <c r="K96" s="170"/>
      <c r="L96" s="170"/>
      <c r="M96" s="246"/>
      <c r="N96" s="246"/>
      <c r="Q96" s="279"/>
      <c r="R96" s="279"/>
      <c r="S96" s="284"/>
      <c r="T96" s="284"/>
      <c r="U96" s="321"/>
      <c r="V96" s="321"/>
      <c r="W96" s="321"/>
      <c r="X96" s="321"/>
      <c r="Y96" s="321"/>
    </row>
    <row r="97" spans="1:25">
      <c r="A97" s="170"/>
      <c r="D97" s="165" t="s">
        <v>200</v>
      </c>
      <c r="E97" s="232"/>
      <c r="F97" s="170"/>
      <c r="G97" s="170"/>
      <c r="H97" s="245"/>
      <c r="I97" s="170"/>
      <c r="J97" s="170"/>
      <c r="K97" s="170"/>
      <c r="L97" s="170"/>
      <c r="M97" s="246"/>
      <c r="N97" s="246"/>
      <c r="Q97" s="279"/>
      <c r="R97" s="279"/>
      <c r="S97" s="284"/>
      <c r="T97" s="284"/>
      <c r="U97" s="321"/>
      <c r="V97" s="321"/>
      <c r="W97" s="321"/>
      <c r="X97" s="321"/>
      <c r="Y97" s="321"/>
    </row>
    <row r="98" spans="1:25">
      <c r="A98" s="170"/>
      <c r="D98" s="165" t="s">
        <v>201</v>
      </c>
      <c r="E98" s="232"/>
      <c r="F98" s="170"/>
      <c r="G98" s="170"/>
      <c r="H98" s="245"/>
      <c r="I98" s="170"/>
      <c r="J98" s="170"/>
      <c r="K98" s="170"/>
      <c r="L98" s="170"/>
      <c r="M98" s="246"/>
      <c r="N98" s="246"/>
      <c r="Q98" s="279"/>
      <c r="R98" s="279"/>
      <c r="S98" s="284"/>
      <c r="T98" s="284"/>
      <c r="U98" s="321"/>
      <c r="V98" s="321"/>
      <c r="W98" s="321"/>
      <c r="X98" s="321"/>
      <c r="Y98" s="321"/>
    </row>
    <row r="99" spans="1:25">
      <c r="A99" s="170"/>
      <c r="D99" s="165" t="s">
        <v>202</v>
      </c>
      <c r="E99" s="232"/>
      <c r="F99" s="170"/>
      <c r="G99" s="170"/>
      <c r="H99" s="245"/>
      <c r="I99" s="170"/>
      <c r="J99" s="170"/>
      <c r="K99" s="170"/>
      <c r="L99" s="170"/>
      <c r="M99" s="246"/>
      <c r="N99" s="246"/>
      <c r="Q99" s="279"/>
      <c r="R99" s="279"/>
      <c r="S99" s="284"/>
      <c r="T99" s="284"/>
      <c r="U99" s="321"/>
      <c r="V99" s="321"/>
      <c r="W99" s="321"/>
      <c r="X99" s="321"/>
      <c r="Y99" s="321"/>
    </row>
    <row r="100" spans="1:25">
      <c r="A100" s="170"/>
      <c r="D100" s="165" t="s">
        <v>203</v>
      </c>
      <c r="E100" s="232"/>
      <c r="F100" s="170"/>
      <c r="G100" s="170"/>
      <c r="H100" s="245"/>
      <c r="I100" s="170"/>
      <c r="J100" s="170"/>
      <c r="K100" s="170"/>
      <c r="L100" s="170"/>
      <c r="M100" s="246"/>
      <c r="N100" s="246"/>
      <c r="Q100" s="279"/>
      <c r="R100" s="279"/>
      <c r="S100" s="284"/>
      <c r="T100" s="284"/>
      <c r="U100" s="321"/>
      <c r="V100" s="321"/>
      <c r="W100" s="321"/>
      <c r="X100" s="321"/>
      <c r="Y100" s="321"/>
    </row>
    <row r="101" spans="1:25">
      <c r="A101" s="170"/>
      <c r="D101" s="165" t="s">
        <v>204</v>
      </c>
      <c r="E101" s="232"/>
      <c r="F101" s="170"/>
      <c r="G101" s="170"/>
      <c r="H101" s="245"/>
      <c r="I101" s="170"/>
      <c r="J101" s="170"/>
      <c r="K101" s="170"/>
      <c r="L101" s="170"/>
      <c r="M101" s="246"/>
      <c r="N101" s="246"/>
      <c r="Q101" s="279"/>
      <c r="R101" s="279"/>
      <c r="S101" s="284"/>
      <c r="T101" s="284"/>
      <c r="U101" s="321"/>
      <c r="V101" s="321"/>
      <c r="W101" s="321"/>
      <c r="X101" s="321"/>
      <c r="Y101" s="321"/>
    </row>
    <row r="102" spans="1:25">
      <c r="A102" s="170"/>
      <c r="D102" s="165" t="s">
        <v>205</v>
      </c>
      <c r="E102" s="232"/>
      <c r="F102" s="170"/>
      <c r="G102" s="170"/>
      <c r="H102" s="245"/>
      <c r="I102" s="170"/>
      <c r="J102" s="170"/>
      <c r="K102" s="170"/>
      <c r="L102" s="170"/>
      <c r="M102" s="246"/>
      <c r="N102" s="246"/>
      <c r="Q102" s="279"/>
      <c r="R102" s="279"/>
      <c r="S102" s="284"/>
      <c r="T102" s="284"/>
      <c r="U102" s="326"/>
      <c r="V102" s="321"/>
      <c r="W102" s="321"/>
      <c r="X102" s="321"/>
      <c r="Y102" s="321"/>
    </row>
    <row r="103" spans="1:25">
      <c r="A103" s="170"/>
      <c r="D103" s="165" t="s">
        <v>206</v>
      </c>
      <c r="E103" s="232"/>
      <c r="F103" s="170"/>
      <c r="G103" s="170"/>
      <c r="H103" s="245"/>
      <c r="I103" s="170"/>
      <c r="J103" s="170"/>
      <c r="K103" s="170"/>
      <c r="L103" s="170"/>
      <c r="M103" s="246"/>
      <c r="N103" s="246"/>
      <c r="Q103" s="279"/>
      <c r="R103" s="279"/>
      <c r="S103" s="284"/>
      <c r="T103" s="284"/>
      <c r="U103" s="326"/>
      <c r="V103" s="321"/>
      <c r="W103" s="321"/>
      <c r="X103" s="321"/>
      <c r="Y103" s="321"/>
    </row>
    <row r="104" spans="1:25">
      <c r="A104" s="170"/>
      <c r="D104" s="163" t="s">
        <v>207</v>
      </c>
      <c r="E104" s="247"/>
      <c r="F104" s="170"/>
      <c r="G104" s="170"/>
      <c r="H104" s="245"/>
      <c r="I104" s="170"/>
      <c r="J104" s="170"/>
      <c r="K104" s="170"/>
      <c r="L104" s="170"/>
      <c r="M104" s="246"/>
      <c r="N104" s="246"/>
      <c r="Q104" s="279"/>
      <c r="R104" s="279"/>
      <c r="S104" s="284"/>
      <c r="T104" s="284"/>
      <c r="U104" s="321"/>
      <c r="V104" s="326"/>
      <c r="W104" s="321"/>
      <c r="X104" s="321"/>
      <c r="Y104" s="321"/>
    </row>
    <row r="105" spans="1:25">
      <c r="A105" s="170"/>
      <c r="D105" s="163" t="s">
        <v>208</v>
      </c>
      <c r="E105" s="247"/>
      <c r="F105" s="170"/>
      <c r="G105" s="170"/>
      <c r="H105" s="245"/>
      <c r="I105" s="170"/>
      <c r="J105" s="170"/>
      <c r="K105" s="170"/>
      <c r="L105" s="170"/>
      <c r="M105" s="246"/>
      <c r="N105" s="246"/>
      <c r="Q105" s="279"/>
      <c r="R105" s="279"/>
      <c r="S105" s="284"/>
      <c r="T105" s="284"/>
      <c r="U105" s="321"/>
      <c r="V105" s="326"/>
      <c r="W105" s="321"/>
      <c r="X105" s="321"/>
      <c r="Y105" s="321"/>
    </row>
    <row r="106" spans="1:25">
      <c r="A106" s="170"/>
      <c r="D106" s="163" t="s">
        <v>209</v>
      </c>
      <c r="E106" s="247"/>
      <c r="F106" s="170"/>
      <c r="G106" s="170"/>
      <c r="H106" s="245"/>
      <c r="I106" s="170"/>
      <c r="J106" s="170"/>
      <c r="K106" s="170"/>
      <c r="L106" s="170"/>
      <c r="M106" s="246"/>
      <c r="N106" s="246"/>
      <c r="Q106" s="279"/>
      <c r="R106" s="279"/>
      <c r="S106" s="284"/>
      <c r="T106" s="284"/>
      <c r="U106" s="321"/>
      <c r="V106" s="321"/>
      <c r="W106" s="326"/>
      <c r="X106" s="321"/>
      <c r="Y106" s="321"/>
    </row>
    <row r="107" spans="1:25">
      <c r="A107" s="170"/>
      <c r="D107" s="165" t="s">
        <v>210</v>
      </c>
      <c r="E107" s="232"/>
      <c r="F107" s="170"/>
      <c r="G107" s="170"/>
      <c r="H107" s="245"/>
      <c r="I107" s="170"/>
      <c r="J107" s="170"/>
      <c r="K107" s="170"/>
      <c r="L107" s="170"/>
      <c r="M107" s="246"/>
      <c r="N107" s="246"/>
      <c r="Q107" s="279"/>
      <c r="R107" s="279"/>
      <c r="S107" s="284"/>
      <c r="T107" s="284"/>
      <c r="U107" s="321"/>
      <c r="V107" s="321"/>
      <c r="W107" s="326"/>
      <c r="X107" s="321"/>
      <c r="Y107" s="321"/>
    </row>
    <row r="108" spans="1:25">
      <c r="A108" s="170"/>
      <c r="D108" s="165" t="s">
        <v>211</v>
      </c>
      <c r="E108" s="232"/>
      <c r="F108" s="170"/>
      <c r="G108" s="170"/>
      <c r="H108" s="245"/>
      <c r="I108" s="170"/>
      <c r="J108" s="170"/>
      <c r="K108" s="170"/>
      <c r="L108" s="170"/>
      <c r="M108" s="246"/>
      <c r="N108" s="246"/>
      <c r="Q108" s="279"/>
      <c r="R108" s="279"/>
      <c r="S108" s="284"/>
      <c r="T108" s="284"/>
      <c r="U108" s="321"/>
      <c r="V108" s="321"/>
      <c r="W108" s="326"/>
      <c r="X108" s="321"/>
      <c r="Y108" s="321"/>
    </row>
    <row r="109" spans="1:25">
      <c r="A109" s="170"/>
      <c r="D109" s="165" t="s">
        <v>212</v>
      </c>
      <c r="E109" s="232"/>
      <c r="F109" s="170"/>
      <c r="G109" s="170"/>
      <c r="H109" s="245"/>
      <c r="I109" s="170"/>
      <c r="J109" s="170"/>
      <c r="K109" s="170"/>
      <c r="L109" s="170"/>
      <c r="M109" s="246"/>
      <c r="N109" s="246"/>
      <c r="Q109" s="279"/>
      <c r="R109" s="279"/>
      <c r="S109" s="284"/>
      <c r="T109" s="284"/>
      <c r="U109" s="321"/>
      <c r="V109" s="321"/>
      <c r="W109" s="326"/>
      <c r="X109" s="321"/>
      <c r="Y109" s="321"/>
    </row>
    <row r="110" spans="1:25">
      <c r="A110" s="208"/>
      <c r="D110" s="232"/>
      <c r="E110" s="232"/>
      <c r="F110" s="170"/>
      <c r="G110" s="171" t="s">
        <v>213</v>
      </c>
      <c r="H110" s="245"/>
      <c r="I110" s="170"/>
      <c r="J110" s="170"/>
      <c r="K110" s="170"/>
      <c r="L110" s="170"/>
      <c r="M110" s="246"/>
      <c r="N110" s="246"/>
      <c r="Q110" s="279"/>
      <c r="R110" s="279"/>
      <c r="S110" s="284"/>
      <c r="T110" s="284"/>
      <c r="U110" s="321"/>
      <c r="V110" s="321"/>
      <c r="W110" s="326"/>
      <c r="X110" s="321"/>
      <c r="Y110" s="321"/>
    </row>
    <row r="111" spans="1:25">
      <c r="A111" s="208"/>
      <c r="D111" s="232"/>
      <c r="E111" s="232"/>
      <c r="F111" s="170"/>
      <c r="G111" s="171" t="s">
        <v>356</v>
      </c>
      <c r="H111" s="245"/>
      <c r="I111" s="170"/>
      <c r="J111" s="170"/>
      <c r="K111" s="170"/>
      <c r="L111" s="170"/>
      <c r="M111" s="246"/>
      <c r="N111" s="246"/>
      <c r="Q111" s="279"/>
      <c r="R111" s="279"/>
      <c r="S111" s="284"/>
      <c r="T111" s="284"/>
      <c r="U111" s="321"/>
      <c r="V111" s="321"/>
      <c r="W111" s="326"/>
      <c r="X111" s="321"/>
      <c r="Y111" s="321"/>
    </row>
    <row r="112" spans="1:25">
      <c r="A112" s="208"/>
      <c r="D112" s="232"/>
      <c r="E112" s="232"/>
      <c r="F112" s="170"/>
      <c r="G112" s="171" t="s">
        <v>215</v>
      </c>
      <c r="H112" s="245"/>
      <c r="I112" s="170"/>
      <c r="J112" s="170"/>
      <c r="K112" s="170"/>
      <c r="L112" s="170"/>
      <c r="M112" s="246"/>
      <c r="N112" s="246"/>
      <c r="Q112" s="279"/>
      <c r="R112" s="279"/>
      <c r="S112" s="284"/>
      <c r="T112" s="284"/>
      <c r="U112" s="321"/>
      <c r="V112" s="321"/>
      <c r="W112" s="326"/>
      <c r="X112" s="321"/>
      <c r="Y112" s="321"/>
    </row>
    <row r="113" spans="1:25" s="164" customFormat="1">
      <c r="A113" s="170"/>
      <c r="C113" s="159"/>
      <c r="D113" s="232" t="s">
        <v>216</v>
      </c>
      <c r="E113" s="232"/>
      <c r="F113" s="170"/>
      <c r="G113" s="170"/>
      <c r="H113" s="245"/>
      <c r="I113" s="170"/>
      <c r="J113" s="246"/>
      <c r="K113" s="246"/>
      <c r="L113" s="246"/>
      <c r="M113" s="246"/>
      <c r="N113" s="246"/>
      <c r="O113" s="159"/>
      <c r="P113" s="279"/>
      <c r="Q113" s="279"/>
      <c r="R113" s="279"/>
      <c r="S113" s="284"/>
      <c r="T113" s="284"/>
      <c r="U113" s="321"/>
      <c r="V113" s="321"/>
      <c r="W113" s="321"/>
      <c r="X113" s="326"/>
      <c r="Y113" s="326"/>
    </row>
    <row r="114" spans="1:25" s="164" customFormat="1">
      <c r="A114" s="83"/>
      <c r="C114" s="159"/>
      <c r="D114" s="165"/>
      <c r="E114" s="165"/>
      <c r="F114" s="83"/>
      <c r="G114" s="83"/>
      <c r="H114" s="160"/>
      <c r="I114" s="236"/>
      <c r="J114" s="162"/>
      <c r="K114" s="162"/>
      <c r="L114" s="162"/>
      <c r="M114" s="162"/>
      <c r="N114" s="162"/>
      <c r="O114" s="159"/>
      <c r="P114" s="279"/>
      <c r="Q114" s="279"/>
      <c r="R114" s="279"/>
      <c r="S114" s="284"/>
      <c r="T114" s="284"/>
      <c r="U114" s="321"/>
      <c r="V114" s="321"/>
      <c r="W114" s="321"/>
      <c r="X114" s="326"/>
      <c r="Y114" s="326"/>
    </row>
    <row r="115" spans="1:25" s="164" customFormat="1">
      <c r="A115" s="83"/>
      <c r="C115" s="159"/>
      <c r="D115" s="166" t="s">
        <v>217</v>
      </c>
      <c r="E115" s="166"/>
      <c r="F115" s="83"/>
      <c r="G115" s="83"/>
      <c r="H115" s="160"/>
      <c r="I115" s="248"/>
      <c r="J115" s="249"/>
      <c r="K115" s="162"/>
      <c r="L115" s="162"/>
      <c r="M115" s="162"/>
      <c r="N115" s="162"/>
      <c r="O115" s="159"/>
      <c r="P115" s="279"/>
      <c r="Q115" s="279"/>
      <c r="R115" s="279"/>
      <c r="S115" s="284"/>
      <c r="T115" s="284"/>
      <c r="U115" s="321"/>
      <c r="V115" s="321"/>
      <c r="W115" s="321"/>
      <c r="X115" s="326"/>
      <c r="Y115" s="326"/>
    </row>
    <row r="116" spans="1:25">
      <c r="A116" s="83"/>
      <c r="D116" s="165" t="s">
        <v>357</v>
      </c>
      <c r="E116" s="165"/>
      <c r="F116" s="83"/>
      <c r="G116" s="83"/>
      <c r="H116" s="160"/>
      <c r="I116" s="236"/>
      <c r="J116" s="249"/>
      <c r="K116" s="162"/>
      <c r="L116" s="162"/>
      <c r="M116" s="162"/>
      <c r="N116" s="162"/>
      <c r="Q116" s="311" t="s">
        <v>417</v>
      </c>
      <c r="R116" s="279"/>
      <c r="S116" s="284"/>
      <c r="T116" s="284"/>
      <c r="U116" s="321"/>
      <c r="V116" s="321"/>
      <c r="W116" s="321"/>
      <c r="X116" s="321"/>
      <c r="Y116" s="321"/>
    </row>
    <row r="117" spans="1:25">
      <c r="A117" s="208"/>
      <c r="E117" s="269">
        <f>S117</f>
        <v>0.26228699244823267</v>
      </c>
      <c r="F117" s="208"/>
      <c r="G117" s="160" t="s">
        <v>220</v>
      </c>
      <c r="H117" s="160"/>
      <c r="I117" s="236"/>
      <c r="J117" s="249"/>
      <c r="K117" s="162"/>
      <c r="L117" s="162"/>
      <c r="M117" s="162"/>
      <c r="N117" s="162"/>
      <c r="P117" s="279" t="s">
        <v>445</v>
      </c>
      <c r="Q117" s="279" t="s">
        <v>418</v>
      </c>
      <c r="R117" s="279"/>
      <c r="S117" s="321">
        <f>IF(P117="Y",VLOOKUP(Q117,Rates2020,3,0)*PercIncr2021,VLOOKUP(Q117,Rates2020,3,0))</f>
        <v>0.26228699244823267</v>
      </c>
      <c r="T117" s="284"/>
      <c r="U117" s="321"/>
      <c r="V117" s="321"/>
      <c r="W117" s="321"/>
      <c r="X117" s="321"/>
      <c r="Y117" s="321"/>
    </row>
    <row r="118" spans="1:25">
      <c r="A118" s="208"/>
      <c r="E118" s="269">
        <f t="shared" ref="E118:E120" si="6">S118</f>
        <v>0.43585926686250454</v>
      </c>
      <c r="F118" s="208"/>
      <c r="G118" s="160" t="s">
        <v>221</v>
      </c>
      <c r="P118" s="279" t="s">
        <v>445</v>
      </c>
      <c r="Q118" s="279" t="s">
        <v>419</v>
      </c>
      <c r="R118" s="279"/>
      <c r="S118" s="321">
        <f>IF(P118="Y",VLOOKUP(Q118,Rates2020,3,0)*PercIncr2021,VLOOKUP(Q118,Rates2020,3,0))</f>
        <v>0.43585926686250454</v>
      </c>
      <c r="T118" s="284"/>
      <c r="U118" s="321"/>
      <c r="V118" s="321"/>
      <c r="W118" s="321"/>
      <c r="X118" s="321"/>
      <c r="Y118" s="321"/>
    </row>
    <row r="119" spans="1:25">
      <c r="A119" s="208"/>
      <c r="E119" s="269">
        <f t="shared" si="6"/>
        <v>0.52585970544768224</v>
      </c>
      <c r="F119" s="208"/>
      <c r="G119" s="160" t="s">
        <v>222</v>
      </c>
      <c r="H119" s="250"/>
      <c r="I119" s="251"/>
      <c r="J119" s="252"/>
      <c r="P119" s="279" t="s">
        <v>445</v>
      </c>
      <c r="Q119" s="279" t="s">
        <v>420</v>
      </c>
      <c r="R119" s="279"/>
      <c r="S119" s="321">
        <f>IF(P119="Y",VLOOKUP(Q119,Rates2020,3,0)*PercIncr2021,VLOOKUP(Q119,Rates2020,3,0))</f>
        <v>0.52585970544768224</v>
      </c>
      <c r="T119" s="284"/>
      <c r="U119" s="321"/>
      <c r="V119" s="321"/>
      <c r="W119" s="321"/>
      <c r="X119" s="321"/>
      <c r="Y119" s="321"/>
    </row>
    <row r="120" spans="1:25">
      <c r="A120" s="208"/>
      <c r="E120" s="269">
        <f t="shared" si="6"/>
        <v>0.68914621545221955</v>
      </c>
      <c r="F120" s="208"/>
      <c r="G120" s="160" t="s">
        <v>223</v>
      </c>
      <c r="I120" s="208"/>
      <c r="J120" s="252"/>
      <c r="P120" s="279" t="s">
        <v>445</v>
      </c>
      <c r="Q120" s="279" t="s">
        <v>421</v>
      </c>
      <c r="R120" s="279"/>
      <c r="S120" s="321">
        <f>IF(P120="Y",VLOOKUP(Q120,Rates2020,3,0)*PercIncr2021,VLOOKUP(Q120,Rates2020,3,0))</f>
        <v>0.68914621545221955</v>
      </c>
      <c r="T120" s="284"/>
      <c r="U120" s="321"/>
      <c r="V120" s="321"/>
      <c r="W120" s="321"/>
      <c r="X120" s="321"/>
      <c r="Y120" s="321"/>
    </row>
    <row r="121" spans="1:25">
      <c r="H121" s="253"/>
      <c r="I121" s="254"/>
      <c r="J121" s="255"/>
      <c r="Q121" s="278"/>
      <c r="R121" s="278"/>
      <c r="S121" s="321"/>
      <c r="T121" s="284"/>
      <c r="U121" s="321"/>
      <c r="V121" s="321"/>
      <c r="W121" s="321"/>
      <c r="X121" s="321"/>
      <c r="Y121" s="321"/>
    </row>
    <row r="122" spans="1:25">
      <c r="A122" s="256"/>
      <c r="D122" s="166" t="s">
        <v>224</v>
      </c>
      <c r="E122" s="166"/>
      <c r="F122" s="256"/>
      <c r="G122" s="256"/>
      <c r="I122" s="257"/>
      <c r="J122" s="258"/>
      <c r="Q122" s="278"/>
      <c r="R122" s="278"/>
      <c r="S122" s="321"/>
      <c r="T122" s="284"/>
      <c r="U122" s="321"/>
      <c r="V122" s="321"/>
      <c r="W122" s="321"/>
      <c r="X122" s="321"/>
      <c r="Y122" s="321"/>
    </row>
    <row r="123" spans="1:25">
      <c r="A123" s="259"/>
      <c r="D123" s="165" t="s">
        <v>453</v>
      </c>
      <c r="E123" s="165"/>
      <c r="F123" s="259"/>
      <c r="G123" s="259"/>
      <c r="H123" s="211" t="str">
        <f>"The employer shall pay a Shift Differential equal to  "&amp;TEXT(S125,"$0.000")&amp;" per hour for all work shifts that have a "</f>
        <v xml:space="preserve">The employer shall pay a Shift Differential equal to  $1.468 per hour for all work shifts that have a </v>
      </c>
      <c r="K123" s="208"/>
      <c r="L123" s="260"/>
      <c r="M123" s="211"/>
      <c r="N123" s="208"/>
      <c r="Q123" s="279"/>
      <c r="R123" s="279"/>
      <c r="S123" s="284"/>
      <c r="T123" s="284"/>
      <c r="U123" s="321"/>
      <c r="V123" s="321"/>
      <c r="W123" s="321"/>
      <c r="X123" s="321"/>
      <c r="Y123" s="321"/>
    </row>
    <row r="124" spans="1:25">
      <c r="A124" s="256"/>
      <c r="D124" s="165" t="s">
        <v>359</v>
      </c>
      <c r="E124" s="165"/>
      <c r="F124" s="256"/>
      <c r="G124" s="256"/>
      <c r="P124" s="278"/>
      <c r="Q124" s="279"/>
      <c r="R124" s="279"/>
      <c r="S124" s="284"/>
      <c r="T124" s="284"/>
      <c r="U124" s="321"/>
      <c r="V124" s="321"/>
      <c r="W124" s="321"/>
      <c r="X124" s="321"/>
      <c r="Y124" s="321"/>
    </row>
    <row r="125" spans="1:25">
      <c r="A125" s="258"/>
      <c r="D125" s="165" t="s">
        <v>227</v>
      </c>
      <c r="E125" s="165"/>
      <c r="F125" s="258"/>
      <c r="G125" s="258"/>
      <c r="P125" s="279" t="s">
        <v>445</v>
      </c>
      <c r="Q125" s="279" t="s">
        <v>423</v>
      </c>
      <c r="R125" s="279" t="s">
        <v>424</v>
      </c>
      <c r="S125" s="321">
        <f>IF(P125="Y",VLOOKUP(Q125,Rates2020,3,0)*PercIncr2021,VLOOKUP(Q125,Rates2020,3,0))</f>
        <v>1.4678985824999999</v>
      </c>
      <c r="T125" s="284"/>
      <c r="U125" s="321"/>
      <c r="V125" s="321"/>
      <c r="W125" s="321"/>
      <c r="X125" s="321"/>
      <c r="Y125" s="321"/>
    </row>
    <row r="126" spans="1:25">
      <c r="A126" s="258"/>
      <c r="D126" s="165" t="s">
        <v>228</v>
      </c>
      <c r="E126" s="165"/>
      <c r="F126" s="258"/>
      <c r="G126" s="258"/>
      <c r="P126" s="279" t="s">
        <v>445</v>
      </c>
      <c r="Q126" s="279" t="s">
        <v>425</v>
      </c>
      <c r="R126" s="279" t="s">
        <v>426</v>
      </c>
      <c r="S126" s="321">
        <f>IF(P126="Y",VLOOKUP(Q126,Rates2020,3,0)*PercIncr2021,VLOOKUP(Q126,Rates2020,3,0))</f>
        <v>1.4678985824999999</v>
      </c>
      <c r="T126" s="284"/>
      <c r="U126" s="321"/>
      <c r="V126" s="321"/>
      <c r="W126" s="321"/>
      <c r="X126" s="321"/>
      <c r="Y126" s="321"/>
    </row>
    <row r="127" spans="1:25">
      <c r="D127" s="165" t="s">
        <v>229</v>
      </c>
      <c r="E127" s="165"/>
      <c r="H127" s="160"/>
      <c r="I127" s="236"/>
      <c r="J127" s="83"/>
      <c r="K127" s="83"/>
      <c r="P127" s="279" t="s">
        <v>445</v>
      </c>
      <c r="Q127" s="279" t="s">
        <v>427</v>
      </c>
      <c r="R127" s="279" t="s">
        <v>428</v>
      </c>
      <c r="S127" s="321">
        <f>IF(P127="Y",VLOOKUP(Q127,Rates2020,3,0)*PercIncr2021,VLOOKUP(Q127,Rates2020,3,0))</f>
        <v>1.4678985824999999</v>
      </c>
      <c r="T127" s="284"/>
      <c r="U127" s="321"/>
      <c r="V127" s="321"/>
      <c r="W127" s="321"/>
      <c r="X127" s="321"/>
      <c r="Y127" s="321"/>
    </row>
    <row r="128" spans="1:25">
      <c r="D128" s="83"/>
      <c r="E128" s="83"/>
      <c r="H128" s="160"/>
      <c r="I128" s="236"/>
      <c r="J128" s="83"/>
      <c r="K128" s="83"/>
      <c r="Q128" s="279"/>
      <c r="R128" s="279"/>
      <c r="S128" s="284"/>
      <c r="T128" s="284"/>
      <c r="U128" s="321"/>
      <c r="V128" s="321"/>
      <c r="W128" s="321"/>
      <c r="X128" s="321"/>
      <c r="Y128" s="321"/>
    </row>
    <row r="129" spans="1:25">
      <c r="A129" s="83"/>
      <c r="D129" s="83" t="s">
        <v>454</v>
      </c>
      <c r="E129" s="83"/>
      <c r="F129" s="83"/>
      <c r="G129" s="83"/>
      <c r="H129" s="160"/>
      <c r="I129" s="236"/>
      <c r="J129" s="83"/>
      <c r="K129" s="83"/>
      <c r="P129" s="279" t="s">
        <v>445</v>
      </c>
      <c r="Q129" s="279" t="s">
        <v>431</v>
      </c>
      <c r="R129" s="279" t="s">
        <v>432</v>
      </c>
      <c r="S129" s="321">
        <f>IF(P129="Y",VLOOKUP(Q129,Rates2020,3,0)*PercIncr2021,VLOOKUP(Q129,Rates2020,3,0))</f>
        <v>1.3058375924999999</v>
      </c>
      <c r="T129" s="284"/>
      <c r="U129" s="321"/>
      <c r="V129" s="321"/>
      <c r="W129" s="321"/>
      <c r="X129" s="321"/>
      <c r="Y129" s="321"/>
    </row>
    <row r="130" spans="1:25">
      <c r="D130" s="210" t="str">
        <f>"between 11:00 a.m. and 6:00 a.m. shall be paid an additional "&amp;TEXT(S129,"$0.000") &amp; " per hour for all hours worked on the shift, including any overtime worked."</f>
        <v>between 11:00 a.m. and 6:00 a.m. shall be paid an additional $1.306 per hour for all hours worked on the shift, including any overtime worked.</v>
      </c>
      <c r="Q130" s="279"/>
      <c r="R130" s="279"/>
      <c r="S130" s="279"/>
      <c r="T130" s="279"/>
    </row>
    <row r="131" spans="1:25">
      <c r="A131" s="83"/>
      <c r="F131" s="83"/>
      <c r="G131" s="83"/>
      <c r="Q131" s="279"/>
      <c r="R131" s="279"/>
      <c r="S131" s="279"/>
      <c r="T131" s="279"/>
    </row>
    <row r="132" spans="1:25">
      <c r="A132" s="83"/>
      <c r="D132" s="159"/>
      <c r="E132" s="159"/>
      <c r="F132" s="83"/>
      <c r="G132" s="83"/>
      <c r="Q132" s="278"/>
      <c r="R132" s="278"/>
      <c r="T132" s="279"/>
    </row>
    <row r="133" spans="1:25">
      <c r="A133" s="83"/>
      <c r="D133" s="166" t="s">
        <v>456</v>
      </c>
      <c r="E133" s="166"/>
      <c r="F133" s="83"/>
      <c r="G133" s="83"/>
      <c r="H133" s="160"/>
      <c r="J133" s="83"/>
      <c r="K133" s="83"/>
      <c r="L133" s="83"/>
      <c r="M133" s="162"/>
      <c r="N133" s="162"/>
      <c r="Q133" s="279"/>
      <c r="R133" s="279"/>
      <c r="S133" s="279"/>
      <c r="T133" s="279"/>
      <c r="U133" s="287"/>
    </row>
    <row r="134" spans="1:25">
      <c r="A134" s="83"/>
      <c r="D134" s="165" t="s">
        <v>181</v>
      </c>
      <c r="E134" s="165"/>
      <c r="F134" s="83"/>
      <c r="G134" s="83"/>
      <c r="H134" s="160"/>
      <c r="J134" s="83"/>
      <c r="K134" s="83"/>
      <c r="L134" s="83"/>
      <c r="M134" s="162"/>
      <c r="N134" s="162"/>
      <c r="Q134" s="279"/>
      <c r="R134" s="279"/>
      <c r="S134" s="279"/>
      <c r="T134" s="279"/>
      <c r="U134" s="287"/>
      <c r="V134" s="287"/>
    </row>
    <row r="135" spans="1:25" ht="26.25">
      <c r="A135" s="208"/>
      <c r="D135" s="166"/>
      <c r="E135" s="166"/>
      <c r="F135" s="83"/>
      <c r="G135" s="168" t="s">
        <v>182</v>
      </c>
      <c r="H135" s="169" t="s">
        <v>183</v>
      </c>
      <c r="I135" s="208"/>
      <c r="J135" s="83"/>
      <c r="K135" s="83"/>
      <c r="L135" s="83"/>
      <c r="M135" s="162"/>
      <c r="N135" s="162"/>
      <c r="Q135" s="279"/>
      <c r="R135" s="279"/>
      <c r="S135" s="279"/>
      <c r="T135" s="279"/>
      <c r="U135" s="287"/>
      <c r="V135" s="287"/>
    </row>
    <row r="136" spans="1:25">
      <c r="A136" s="208"/>
      <c r="D136" s="208"/>
      <c r="E136" s="208"/>
      <c r="F136" s="83"/>
      <c r="G136" s="162" t="s">
        <v>154</v>
      </c>
      <c r="H136" s="162" t="s">
        <v>184</v>
      </c>
      <c r="I136" s="208"/>
      <c r="J136" s="83"/>
      <c r="K136" s="83"/>
      <c r="L136" s="83"/>
      <c r="M136" s="162"/>
      <c r="N136" s="162"/>
      <c r="O136" s="208"/>
      <c r="Q136" s="279"/>
      <c r="R136" s="278"/>
      <c r="T136" s="279"/>
      <c r="U136" s="287"/>
      <c r="V136" s="287"/>
      <c r="W136" s="287"/>
    </row>
    <row r="137" spans="1:25">
      <c r="A137" s="208"/>
      <c r="D137" s="163"/>
      <c r="E137" s="163"/>
      <c r="F137" s="83"/>
      <c r="G137" s="162" t="s">
        <v>156</v>
      </c>
      <c r="H137" s="162" t="s">
        <v>185</v>
      </c>
      <c r="I137" s="208"/>
      <c r="J137" s="83"/>
      <c r="K137" s="83"/>
      <c r="L137" s="83"/>
      <c r="M137" s="162"/>
      <c r="N137" s="162"/>
      <c r="Q137" s="278"/>
      <c r="R137" s="279"/>
      <c r="S137" s="279"/>
      <c r="V137" s="287"/>
      <c r="W137" s="287"/>
    </row>
    <row r="138" spans="1:25" s="164" customFormat="1">
      <c r="A138" s="208"/>
      <c r="C138" s="209"/>
      <c r="D138" s="208"/>
      <c r="E138" s="160"/>
      <c r="F138" s="208"/>
      <c r="G138" s="162" t="s">
        <v>158</v>
      </c>
      <c r="H138" s="162" t="s">
        <v>186</v>
      </c>
      <c r="I138" s="208"/>
      <c r="J138" s="83"/>
      <c r="K138" s="83"/>
      <c r="L138" s="83"/>
      <c r="M138" s="162"/>
      <c r="N138" s="162"/>
      <c r="O138" s="159"/>
      <c r="P138" s="279"/>
      <c r="Q138" s="279"/>
      <c r="R138" s="279"/>
      <c r="S138" s="279"/>
      <c r="T138" s="279"/>
      <c r="U138" s="278"/>
      <c r="V138" s="287"/>
      <c r="W138" s="287"/>
      <c r="X138" s="287"/>
      <c r="Y138" s="287"/>
    </row>
    <row r="139" spans="1:25" s="164" customFormat="1">
      <c r="A139" s="162"/>
      <c r="C139" s="209"/>
      <c r="D139" s="210"/>
      <c r="E139" s="210"/>
      <c r="F139" s="162"/>
      <c r="G139" s="162"/>
      <c r="H139" s="211"/>
      <c r="I139" s="167"/>
      <c r="J139" s="159"/>
      <c r="K139" s="159"/>
      <c r="L139" s="159"/>
      <c r="M139" s="159"/>
      <c r="N139" s="159"/>
      <c r="O139" s="159"/>
      <c r="P139" s="279"/>
      <c r="Q139" s="279"/>
      <c r="R139" s="279"/>
      <c r="S139" s="279"/>
      <c r="T139" s="279"/>
      <c r="U139" s="278"/>
      <c r="V139" s="278"/>
      <c r="W139" s="287"/>
      <c r="X139" s="287"/>
      <c r="Y139" s="287"/>
    </row>
    <row r="140" spans="1:25" s="164" customFormat="1">
      <c r="A140" s="83"/>
      <c r="C140" s="159"/>
      <c r="D140" s="165"/>
      <c r="E140" s="165"/>
      <c r="F140" s="83"/>
      <c r="G140" s="83"/>
      <c r="H140" s="211"/>
      <c r="I140" s="167"/>
      <c r="J140" s="159"/>
      <c r="K140" s="159"/>
      <c r="L140" s="159"/>
      <c r="M140" s="159"/>
      <c r="N140" s="159"/>
      <c r="O140" s="159"/>
      <c r="P140" s="279"/>
      <c r="Q140" s="279"/>
      <c r="R140" s="279"/>
      <c r="S140" s="279"/>
      <c r="T140" s="279"/>
      <c r="U140" s="278"/>
      <c r="V140" s="278"/>
      <c r="W140" s="278"/>
      <c r="X140" s="287"/>
      <c r="Y140" s="287"/>
    </row>
    <row r="141" spans="1:25" s="164" customFormat="1">
      <c r="A141" s="159"/>
      <c r="C141" s="159"/>
      <c r="D141" s="261" t="s">
        <v>364</v>
      </c>
      <c r="E141" s="210"/>
      <c r="F141" s="159"/>
      <c r="G141" s="159"/>
      <c r="H141" s="211"/>
      <c r="I141" s="167"/>
      <c r="J141" s="159"/>
      <c r="K141" s="159"/>
      <c r="L141" s="159"/>
      <c r="M141" s="159"/>
      <c r="N141" s="159"/>
      <c r="O141" s="159"/>
      <c r="P141" s="279"/>
      <c r="Q141" s="279"/>
      <c r="R141" s="279"/>
      <c r="S141" s="279"/>
      <c r="T141" s="279"/>
      <c r="U141" s="278"/>
      <c r="V141" s="278"/>
      <c r="W141" s="278"/>
      <c r="X141" s="287"/>
      <c r="Y141" s="287"/>
    </row>
    <row r="142" spans="1:25">
      <c r="D142" s="262" t="s">
        <v>365</v>
      </c>
      <c r="Q142" s="279"/>
      <c r="R142" s="279"/>
      <c r="S142" s="279"/>
      <c r="T142" s="279"/>
    </row>
    <row r="143" spans="1:25">
      <c r="D143" s="210" t="s">
        <v>366</v>
      </c>
      <c r="Q143" s="279"/>
      <c r="R143" s="279"/>
      <c r="S143" s="279"/>
      <c r="T143" s="279"/>
    </row>
    <row r="144" spans="1:25">
      <c r="D144" s="159"/>
      <c r="Q144" s="279"/>
      <c r="R144" s="279"/>
      <c r="S144" s="279"/>
      <c r="T144" s="279"/>
    </row>
    <row r="145" spans="4:20">
      <c r="D145" s="262" t="s">
        <v>367</v>
      </c>
      <c r="Q145" s="279"/>
      <c r="R145" s="279"/>
      <c r="S145" s="279"/>
      <c r="T145" s="279"/>
    </row>
    <row r="146" spans="4:20">
      <c r="D146" s="262" t="s">
        <v>368</v>
      </c>
      <c r="Q146" s="279"/>
      <c r="R146" s="279"/>
      <c r="S146" s="279"/>
      <c r="T146" s="279"/>
    </row>
    <row r="147" spans="4:20">
      <c r="D147" s="159"/>
      <c r="Q147" s="279"/>
      <c r="R147" s="279"/>
      <c r="S147" s="279"/>
      <c r="T147" s="279"/>
    </row>
    <row r="148" spans="4:20">
      <c r="D148" s="262" t="s">
        <v>369</v>
      </c>
      <c r="Q148" s="279"/>
      <c r="R148" s="279"/>
      <c r="S148" s="279"/>
      <c r="T148" s="279"/>
    </row>
    <row r="149" spans="4:20">
      <c r="D149" s="210" t="s">
        <v>370</v>
      </c>
      <c r="Q149" s="279"/>
      <c r="R149" s="279"/>
      <c r="S149" s="279"/>
      <c r="T149" s="279"/>
    </row>
    <row r="150" spans="4:20">
      <c r="Q150" s="279"/>
      <c r="R150" s="279"/>
      <c r="S150" s="279"/>
      <c r="T150" s="279"/>
    </row>
  </sheetData>
  <sheetProtection sheet="1" objects="1" scenarios="1" autoFilter="0"/>
  <autoFilter ref="A5:AD54" xr:uid="{9B1A15B4-5073-478E-8B96-BB658F4DE1FB}"/>
  <pageMargins left="0.25" right="0.25" top="0.75" bottom="0.75" header="0.3" footer="0.3"/>
  <pageSetup scale="98" orientation="landscape" r:id="rId1"/>
  <headerFooter alignWithMargins="0"/>
  <rowBreaks count="1" manualBreakCount="1">
    <brk id="84"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1F36D-1FA2-4EAF-BB3B-FF72A8471536}">
  <sheetPr codeName="Sheet9"/>
  <dimension ref="A1:AD150"/>
  <sheetViews>
    <sheetView showGridLines="0" zoomScaleNormal="100" workbookViewId="0">
      <selection activeCell="H40" sqref="H40"/>
    </sheetView>
  </sheetViews>
  <sheetFormatPr defaultColWidth="9.140625" defaultRowHeight="15"/>
  <cols>
    <col min="1" max="1" width="6.42578125" style="159" bestFit="1" customWidth="1"/>
    <col min="2" max="2" width="7.5703125" style="208" customWidth="1"/>
    <col min="3" max="3" width="10.85546875" style="159" customWidth="1"/>
    <col min="4" max="4" width="8.42578125" style="210" customWidth="1"/>
    <col min="5" max="5" width="9.85546875" style="210" bestFit="1" customWidth="1"/>
    <col min="6" max="6" width="37.28515625" style="159" hidden="1" customWidth="1"/>
    <col min="7" max="7" width="10.140625" style="159" customWidth="1"/>
    <col min="8" max="8" width="57.85546875" style="211" bestFit="1" customWidth="1"/>
    <col min="9" max="9" width="9.5703125" style="167" customWidth="1"/>
    <col min="10" max="14" width="9.5703125" style="159" customWidth="1"/>
    <col min="15" max="15" width="11" style="159" bestFit="1" customWidth="1"/>
    <col min="16" max="16" width="12" style="279" hidden="1" customWidth="1"/>
    <col min="17" max="17" width="13.5703125" style="280" hidden="1" customWidth="1"/>
    <col min="18" max="18" width="57.85546875" style="308" hidden="1" customWidth="1"/>
    <col min="19" max="25" width="11" style="278" hidden="1" customWidth="1"/>
    <col min="26" max="26" width="8.42578125" style="208" hidden="1" customWidth="1"/>
    <col min="27" max="29" width="0" style="208" hidden="1" customWidth="1"/>
    <col min="30" max="16384" width="9.140625" style="208"/>
  </cols>
  <sheetData>
    <row r="1" spans="1:26">
      <c r="A1" s="209" t="s">
        <v>316</v>
      </c>
      <c r="Q1" s="319"/>
      <c r="R1" s="344" t="s">
        <v>436</v>
      </c>
    </row>
    <row r="2" spans="1:26">
      <c r="A2" s="212" t="s">
        <v>0</v>
      </c>
      <c r="C2" s="208"/>
      <c r="D2" s="159"/>
      <c r="E2" s="211"/>
      <c r="F2" s="162"/>
      <c r="G2" s="162"/>
      <c r="H2" s="162"/>
      <c r="I2" s="162"/>
      <c r="J2" s="162"/>
      <c r="K2" s="162"/>
      <c r="Q2" s="320"/>
    </row>
    <row r="3" spans="1:26">
      <c r="A3" s="212" t="s">
        <v>463</v>
      </c>
      <c r="C3" s="208"/>
      <c r="D3" s="209"/>
      <c r="E3" s="211"/>
      <c r="F3" s="213"/>
      <c r="G3" s="213"/>
      <c r="H3" s="213"/>
      <c r="I3" s="213"/>
      <c r="J3" s="213"/>
      <c r="K3" s="213"/>
    </row>
    <row r="4" spans="1:26">
      <c r="A4" s="159" t="s">
        <v>318</v>
      </c>
      <c r="C4" s="208"/>
    </row>
    <row r="5" spans="1:26" ht="30">
      <c r="A5" s="215" t="s">
        <v>373</v>
      </c>
      <c r="B5" s="216" t="s">
        <v>2</v>
      </c>
      <c r="C5" s="216" t="s">
        <v>374</v>
      </c>
      <c r="D5" s="216" t="s">
        <v>375</v>
      </c>
      <c r="E5" s="215" t="s">
        <v>376</v>
      </c>
      <c r="F5" s="216" t="s">
        <v>439</v>
      </c>
      <c r="G5" s="216" t="s">
        <v>7</v>
      </c>
      <c r="H5" s="217" t="s">
        <v>440</v>
      </c>
      <c r="I5" s="213" t="s">
        <v>154</v>
      </c>
      <c r="J5" s="213" t="s">
        <v>156</v>
      </c>
      <c r="K5" s="213" t="s">
        <v>158</v>
      </c>
      <c r="L5" s="213" t="s">
        <v>170</v>
      </c>
      <c r="M5" s="213" t="s">
        <v>441</v>
      </c>
      <c r="N5" s="213" t="s">
        <v>442</v>
      </c>
      <c r="O5" s="213" t="s">
        <v>443</v>
      </c>
      <c r="P5" s="286" t="s">
        <v>444</v>
      </c>
      <c r="Q5" s="281" t="s">
        <v>7</v>
      </c>
      <c r="R5" s="282" t="s">
        <v>440</v>
      </c>
      <c r="S5" s="283" t="s">
        <v>154</v>
      </c>
      <c r="T5" s="283" t="s">
        <v>156</v>
      </c>
      <c r="U5" s="283" t="s">
        <v>158</v>
      </c>
      <c r="V5" s="283" t="s">
        <v>170</v>
      </c>
      <c r="W5" s="283" t="s">
        <v>441</v>
      </c>
      <c r="X5" s="283" t="s">
        <v>442</v>
      </c>
      <c r="Y5" s="283" t="s">
        <v>443</v>
      </c>
    </row>
    <row r="6" spans="1:26">
      <c r="A6" s="219">
        <v>15</v>
      </c>
      <c r="B6" s="162">
        <v>228</v>
      </c>
      <c r="C6" s="162">
        <v>5</v>
      </c>
      <c r="D6" s="162" t="s">
        <v>17</v>
      </c>
      <c r="E6" s="162" t="s">
        <v>18</v>
      </c>
      <c r="F6" s="219">
        <v>15</v>
      </c>
      <c r="G6" s="162" t="s">
        <v>45</v>
      </c>
      <c r="H6" s="211" t="s">
        <v>46</v>
      </c>
      <c r="I6" s="269">
        <f>S6</f>
        <v>30.24</v>
      </c>
      <c r="J6" s="269"/>
      <c r="K6" s="269"/>
      <c r="L6" s="269"/>
      <c r="M6" s="269"/>
      <c r="N6" s="269"/>
      <c r="O6" s="220"/>
      <c r="P6" s="313" t="s">
        <v>445</v>
      </c>
      <c r="Q6" s="286" t="str">
        <f>G6</f>
        <v>00500C</v>
      </c>
      <c r="R6" s="309" t="str">
        <f>H6</f>
        <v>Asphalt Raker</v>
      </c>
      <c r="S6" s="321">
        <f t="shared" ref="S6:S41" si="0">ROUND(IF($P6="Y",((VLOOKUP($Q6,Rates2020,3,0)+LIUNA2021)*PercIncr2021)-LIUNA2021,VLOOKUP($Q6,Rates2020,3,0)),3)</f>
        <v>30.24</v>
      </c>
      <c r="T6" s="321"/>
      <c r="U6" s="321"/>
      <c r="V6" s="322"/>
      <c r="W6" s="321"/>
      <c r="X6" s="321"/>
      <c r="Y6" s="321"/>
    </row>
    <row r="7" spans="1:26">
      <c r="A7" s="219" t="s">
        <v>319</v>
      </c>
      <c r="B7" s="162">
        <v>228</v>
      </c>
      <c r="C7" s="162">
        <v>5</v>
      </c>
      <c r="D7" s="162" t="s">
        <v>17</v>
      </c>
      <c r="E7" s="162" t="s">
        <v>18</v>
      </c>
      <c r="F7" s="219" t="s">
        <v>19</v>
      </c>
      <c r="G7" s="162" t="s">
        <v>21</v>
      </c>
      <c r="H7" s="211" t="s">
        <v>22</v>
      </c>
      <c r="I7" s="269">
        <f t="shared" ref="I7:O50" si="1">S7</f>
        <v>26.34</v>
      </c>
      <c r="J7" s="269">
        <f t="shared" si="1"/>
        <v>27.164000000000001</v>
      </c>
      <c r="K7" s="269">
        <f t="shared" si="1"/>
        <v>28.013999999999999</v>
      </c>
      <c r="L7" s="269">
        <f t="shared" si="1"/>
        <v>28.888999999999999</v>
      </c>
      <c r="M7" s="269"/>
      <c r="N7" s="269"/>
      <c r="O7" s="220"/>
      <c r="P7" s="312" t="s">
        <v>445</v>
      </c>
      <c r="Q7" s="286" t="str">
        <f t="shared" ref="Q7:R52" si="2">G7</f>
        <v>00505C</v>
      </c>
      <c r="R7" s="309" t="str">
        <f t="shared" si="2"/>
        <v>Asphalt Raker Apprentice I (1st 522 hours)</v>
      </c>
      <c r="S7" s="321">
        <f t="shared" si="0"/>
        <v>26.34</v>
      </c>
      <c r="T7" s="321">
        <f>ROUND(IF($P7="Y",((VLOOKUP($Q7,Rates2020,4,0)+LIUNA2021)*PercIncr2021)-LIUNA2021,VLOOKUP($Q7,Rates2020,4,0)),3)</f>
        <v>27.164000000000001</v>
      </c>
      <c r="U7" s="321">
        <f>ROUND(IF($P7="Y",((VLOOKUP($Q7,Rates2020,5,0)+LIUNA2021)*PercIncr2021)-LIUNA2021,VLOOKUP($Q7,Rates2020,5,0)),3)</f>
        <v>28.013999999999999</v>
      </c>
      <c r="V7" s="321">
        <f>ROUND(IF($P7="Y",((VLOOKUP($Q7,Rates2020,6,0)+LIUNA2021)*PercIncr2021)-LIUNA2021,VLOOKUP($Q7,Rates2020,6,0)),3)</f>
        <v>28.888999999999999</v>
      </c>
      <c r="W7" s="321"/>
      <c r="X7" s="321"/>
      <c r="Y7" s="321"/>
    </row>
    <row r="8" spans="1:26">
      <c r="A8" s="219" t="s">
        <v>321</v>
      </c>
      <c r="B8" s="162">
        <v>228</v>
      </c>
      <c r="C8" s="162">
        <v>5</v>
      </c>
      <c r="D8" s="162" t="s">
        <v>17</v>
      </c>
      <c r="E8" s="162" t="s">
        <v>18</v>
      </c>
      <c r="F8" s="219" t="s">
        <v>19</v>
      </c>
      <c r="G8" s="162" t="s">
        <v>25</v>
      </c>
      <c r="H8" s="211" t="s">
        <v>26</v>
      </c>
      <c r="I8" s="269">
        <f t="shared" si="1"/>
        <v>26.780999999999999</v>
      </c>
      <c r="J8" s="269">
        <f t="shared" si="1"/>
        <v>27.606000000000002</v>
      </c>
      <c r="K8" s="269">
        <f t="shared" si="1"/>
        <v>28.454999999999998</v>
      </c>
      <c r="L8" s="269">
        <f t="shared" si="1"/>
        <v>29.33</v>
      </c>
      <c r="M8" s="269"/>
      <c r="N8" s="269"/>
      <c r="O8" s="220"/>
      <c r="P8" s="312" t="s">
        <v>445</v>
      </c>
      <c r="Q8" s="286" t="str">
        <f t="shared" si="2"/>
        <v>00507C</v>
      </c>
      <c r="R8" s="309" t="str">
        <f t="shared" si="2"/>
        <v>Asphalt Raker Apprentice II (2nd 522 hours)</v>
      </c>
      <c r="S8" s="321">
        <f t="shared" si="0"/>
        <v>26.780999999999999</v>
      </c>
      <c r="T8" s="321">
        <f>ROUND(IF($P8="Y",((VLOOKUP($Q8,Rates2020,4,0)+LIUNA2021)*PercIncr2021)-LIUNA2021,VLOOKUP($Q8,Rates2020,4,0)),3)</f>
        <v>27.606000000000002</v>
      </c>
      <c r="U8" s="321">
        <f>ROUND(IF($P8="Y",((VLOOKUP($Q8,Rates2020,5,0)+LIUNA2021)*PercIncr2021)-LIUNA2021,VLOOKUP($Q8,Rates2020,5,0)),3)</f>
        <v>28.454999999999998</v>
      </c>
      <c r="V8" s="321">
        <f>ROUND(IF($P8="Y",((VLOOKUP($Q8,Rates2020,6,0)+LIUNA2021)*PercIncr2021)-LIUNA2021,VLOOKUP($Q8,Rates2020,6,0)),3)</f>
        <v>29.33</v>
      </c>
      <c r="W8" s="321"/>
      <c r="X8" s="321"/>
      <c r="Y8" s="321"/>
    </row>
    <row r="9" spans="1:26">
      <c r="A9" s="219" t="s">
        <v>47</v>
      </c>
      <c r="B9" s="162">
        <v>178</v>
      </c>
      <c r="C9" s="162">
        <v>3</v>
      </c>
      <c r="D9" s="162" t="s">
        <v>17</v>
      </c>
      <c r="E9" s="162" t="s">
        <v>18</v>
      </c>
      <c r="F9" s="219" t="s">
        <v>47</v>
      </c>
      <c r="G9" s="162" t="s">
        <v>48</v>
      </c>
      <c r="H9" s="211" t="s">
        <v>49</v>
      </c>
      <c r="I9" s="269">
        <f t="shared" si="1"/>
        <v>15.865</v>
      </c>
      <c r="J9" s="269">
        <f t="shared" si="1"/>
        <v>18.47</v>
      </c>
      <c r="K9" s="269">
        <f t="shared" si="1"/>
        <v>19.536000000000001</v>
      </c>
      <c r="L9" s="269">
        <f t="shared" si="1"/>
        <v>24.567</v>
      </c>
      <c r="M9" s="269"/>
      <c r="N9" s="269"/>
      <c r="O9" s="220"/>
      <c r="P9" s="313" t="s">
        <v>445</v>
      </c>
      <c r="Q9" s="286" t="str">
        <f t="shared" si="2"/>
        <v>01060C</v>
      </c>
      <c r="R9" s="309" t="str">
        <f t="shared" si="2"/>
        <v>Attendant Impound Lot</v>
      </c>
      <c r="S9" s="321">
        <f t="shared" si="0"/>
        <v>15.865</v>
      </c>
      <c r="T9" s="321">
        <f>ROUND(IF($P9="Y",((VLOOKUP($Q9,Rates2020,4,0)+LIUNA2021)*PercIncr2021)-LIUNA2021,VLOOKUP($Q9,Rates2020,4,0)),3)</f>
        <v>18.47</v>
      </c>
      <c r="U9" s="321">
        <f>ROUND(IF($P9="Y",((VLOOKUP($Q9,Rates2020,5,0)+LIUNA2021)*PercIncr2021)-LIUNA2021,VLOOKUP($Q9,Rates2020,5,0)),3)</f>
        <v>19.536000000000001</v>
      </c>
      <c r="V9" s="321">
        <f>ROUND(IF($P9="Y",((VLOOKUP($Q9,Rates2020,6,0)+LIUNA2021)*PercIncr2021)-LIUNA2021,VLOOKUP($Q9,Rates2020,6,0)),3)</f>
        <v>24.567</v>
      </c>
      <c r="W9" s="321"/>
      <c r="X9" s="321"/>
      <c r="Y9" s="321"/>
    </row>
    <row r="10" spans="1:26">
      <c r="A10" s="219">
        <v>18</v>
      </c>
      <c r="B10" s="162">
        <v>280</v>
      </c>
      <c r="C10" s="162">
        <v>6</v>
      </c>
      <c r="D10" s="162" t="s">
        <v>17</v>
      </c>
      <c r="E10" s="162" t="s">
        <v>18</v>
      </c>
      <c r="F10" s="219">
        <v>18</v>
      </c>
      <c r="G10" s="162" t="s">
        <v>50</v>
      </c>
      <c r="H10" s="211" t="s">
        <v>51</v>
      </c>
      <c r="I10" s="269">
        <f t="shared" si="1"/>
        <v>33.881</v>
      </c>
      <c r="J10" s="269"/>
      <c r="K10" s="269"/>
      <c r="L10" s="269"/>
      <c r="M10" s="269"/>
      <c r="N10" s="269"/>
      <c r="O10" s="220"/>
      <c r="P10" s="313" t="s">
        <v>445</v>
      </c>
      <c r="Q10" s="286" t="str">
        <f t="shared" si="2"/>
        <v>01570C</v>
      </c>
      <c r="R10" s="309" t="str">
        <f t="shared" si="2"/>
        <v>Cement Finisher Journeyman</v>
      </c>
      <c r="S10" s="321">
        <f t="shared" si="0"/>
        <v>33.881</v>
      </c>
      <c r="T10" s="321"/>
      <c r="U10" s="321"/>
      <c r="V10" s="322"/>
      <c r="W10" s="321"/>
      <c r="X10" s="321"/>
      <c r="Y10" s="321"/>
    </row>
    <row r="11" spans="1:26">
      <c r="A11" s="219" t="s">
        <v>321</v>
      </c>
      <c r="B11" s="162">
        <v>280</v>
      </c>
      <c r="C11" s="162">
        <v>6</v>
      </c>
      <c r="D11" s="162" t="s">
        <v>17</v>
      </c>
      <c r="E11" s="162" t="s">
        <v>18</v>
      </c>
      <c r="F11" s="219" t="s">
        <v>19</v>
      </c>
      <c r="G11" s="162" t="s">
        <v>31</v>
      </c>
      <c r="H11" s="211" t="s">
        <v>32</v>
      </c>
      <c r="I11" s="269">
        <f t="shared" si="1"/>
        <v>26.780999999999999</v>
      </c>
      <c r="J11" s="269">
        <f t="shared" si="1"/>
        <v>27.606000000000002</v>
      </c>
      <c r="K11" s="269">
        <f t="shared" si="1"/>
        <v>28.454999999999998</v>
      </c>
      <c r="L11" s="269">
        <f t="shared" si="1"/>
        <v>29.33</v>
      </c>
      <c r="M11" s="269"/>
      <c r="N11" s="269"/>
      <c r="O11" s="220"/>
      <c r="P11" s="313" t="s">
        <v>445</v>
      </c>
      <c r="Q11" s="286" t="str">
        <f t="shared" si="2"/>
        <v>01585C</v>
      </c>
      <c r="R11" s="309" t="str">
        <f t="shared" si="2"/>
        <v>Cement Finisher Apprentice I (1st 174 hours)</v>
      </c>
      <c r="S11" s="321">
        <f t="shared" si="0"/>
        <v>26.780999999999999</v>
      </c>
      <c r="T11" s="321">
        <f>ROUND(IF($P11="Y",((VLOOKUP($Q11,Rates2020,4,0)+LIUNA2021)*PercIncr2021)-LIUNA2021,VLOOKUP($Q11,Rates2020,4,0)),3)</f>
        <v>27.606000000000002</v>
      </c>
      <c r="U11" s="321">
        <f>ROUND(IF($P11="Y",((VLOOKUP($Q11,Rates2020,5,0)+LIUNA2021)*PercIncr2021)-LIUNA2021,VLOOKUP($Q11,Rates2020,5,0)),3)</f>
        <v>28.454999999999998</v>
      </c>
      <c r="V11" s="321">
        <f>ROUND(IF($P11="Y",((VLOOKUP($Q11,Rates2020,6,0)+LIUNA2021)*PercIncr2021)-LIUNA2021,VLOOKUP($Q11,Rates2020,6,0)),3)</f>
        <v>29.33</v>
      </c>
      <c r="W11" s="321"/>
      <c r="X11" s="321"/>
      <c r="Y11" s="321"/>
    </row>
    <row r="12" spans="1:26">
      <c r="A12" s="219" t="s">
        <v>322</v>
      </c>
      <c r="B12" s="162">
        <v>280</v>
      </c>
      <c r="C12" s="162">
        <v>6</v>
      </c>
      <c r="D12" s="162" t="s">
        <v>17</v>
      </c>
      <c r="E12" s="162" t="s">
        <v>18</v>
      </c>
      <c r="F12" s="219" t="s">
        <v>19</v>
      </c>
      <c r="G12" s="162" t="s">
        <v>35</v>
      </c>
      <c r="H12" s="211" t="s">
        <v>36</v>
      </c>
      <c r="I12" s="269">
        <f t="shared" si="1"/>
        <v>27.158999999999999</v>
      </c>
      <c r="J12" s="269">
        <f t="shared" si="1"/>
        <v>27.984000000000002</v>
      </c>
      <c r="K12" s="269">
        <f t="shared" si="1"/>
        <v>28.832999999999998</v>
      </c>
      <c r="L12" s="269">
        <f t="shared" si="1"/>
        <v>29.707999999999998</v>
      </c>
      <c r="M12" s="269"/>
      <c r="N12" s="269"/>
      <c r="O12" s="220"/>
      <c r="P12" s="313" t="s">
        <v>445</v>
      </c>
      <c r="Q12" s="286" t="str">
        <f t="shared" si="2"/>
        <v>01586C</v>
      </c>
      <c r="R12" s="309" t="str">
        <f t="shared" si="2"/>
        <v>Cement Finisher Apprentice II (Next 696 hours)</v>
      </c>
      <c r="S12" s="321">
        <f t="shared" si="0"/>
        <v>27.158999999999999</v>
      </c>
      <c r="T12" s="321">
        <f>ROUND(IF($P12="Y",((VLOOKUP($Q12,Rates2020,4,0)+LIUNA2021)*PercIncr2021)-LIUNA2021,VLOOKUP($Q12,Rates2020,4,0)),3)</f>
        <v>27.984000000000002</v>
      </c>
      <c r="U12" s="321">
        <f>ROUND(IF($P12="Y",((VLOOKUP($Q12,Rates2020,5,0)+LIUNA2021)*PercIncr2021)-LIUNA2021,VLOOKUP($Q12,Rates2020,5,0)),3)</f>
        <v>28.832999999999998</v>
      </c>
      <c r="V12" s="321">
        <f>ROUND(IF($P12="Y",((VLOOKUP($Q12,Rates2020,6,0)+LIUNA2021)*PercIncr2021)-LIUNA2021,VLOOKUP($Q12,Rates2020,6,0)),3)</f>
        <v>29.707999999999998</v>
      </c>
      <c r="W12" s="321"/>
      <c r="X12" s="321"/>
      <c r="Y12" s="321"/>
    </row>
    <row r="13" spans="1:26">
      <c r="A13" s="219" t="s">
        <v>323</v>
      </c>
      <c r="B13" s="162">
        <v>280</v>
      </c>
      <c r="C13" s="162">
        <v>6</v>
      </c>
      <c r="D13" s="162" t="s">
        <v>17</v>
      </c>
      <c r="E13" s="162" t="s">
        <v>18</v>
      </c>
      <c r="F13" s="219" t="s">
        <v>19</v>
      </c>
      <c r="G13" s="162" t="s">
        <v>39</v>
      </c>
      <c r="H13" s="211" t="s">
        <v>40</v>
      </c>
      <c r="I13" s="269">
        <f t="shared" si="1"/>
        <v>28.356000000000002</v>
      </c>
      <c r="J13" s="269">
        <f t="shared" si="1"/>
        <v>29.181000000000001</v>
      </c>
      <c r="K13" s="269">
        <f t="shared" si="1"/>
        <v>30.030999999999999</v>
      </c>
      <c r="L13" s="269">
        <f t="shared" si="1"/>
        <v>30.905999999999999</v>
      </c>
      <c r="M13" s="269"/>
      <c r="N13" s="269"/>
      <c r="O13" s="220"/>
      <c r="P13" s="313" t="s">
        <v>445</v>
      </c>
      <c r="Q13" s="286" t="str">
        <f t="shared" si="2"/>
        <v>01587C</v>
      </c>
      <c r="R13" s="309" t="str">
        <f t="shared" si="2"/>
        <v>Cement Finisher Apprentice III (Next 696 hours)</v>
      </c>
      <c r="S13" s="321">
        <f t="shared" si="0"/>
        <v>28.356000000000002</v>
      </c>
      <c r="T13" s="321">
        <f>ROUND(IF($P13="Y",((VLOOKUP($Q13,Rates2020,4,0)+LIUNA2021)*PercIncr2021)-LIUNA2021,VLOOKUP($Q13,Rates2020,4,0)),3)</f>
        <v>29.181000000000001</v>
      </c>
      <c r="U13" s="321">
        <f>ROUND(IF($P13="Y",((VLOOKUP($Q13,Rates2020,5,0)+LIUNA2021)*PercIncr2021)-LIUNA2021,VLOOKUP($Q13,Rates2020,5,0)),3)</f>
        <v>30.030999999999999</v>
      </c>
      <c r="V13" s="321">
        <f>ROUND(IF($P13="Y",((VLOOKUP($Q13,Rates2020,6,0)+LIUNA2021)*PercIncr2021)-LIUNA2021,VLOOKUP($Q13,Rates2020,6,0)),3)</f>
        <v>30.905999999999999</v>
      </c>
      <c r="W13" s="321"/>
      <c r="X13" s="321"/>
      <c r="Y13" s="321"/>
    </row>
    <row r="14" spans="1:26">
      <c r="A14" s="219" t="s">
        <v>324</v>
      </c>
      <c r="B14" s="162">
        <v>280</v>
      </c>
      <c r="C14" s="162">
        <v>6</v>
      </c>
      <c r="D14" s="162" t="s">
        <v>17</v>
      </c>
      <c r="E14" s="162" t="s">
        <v>18</v>
      </c>
      <c r="F14" s="219" t="s">
        <v>19</v>
      </c>
      <c r="G14" s="162" t="s">
        <v>42</v>
      </c>
      <c r="H14" s="211" t="s">
        <v>43</v>
      </c>
      <c r="I14" s="269">
        <f t="shared" si="1"/>
        <v>29.302</v>
      </c>
      <c r="J14" s="269">
        <f t="shared" si="1"/>
        <v>30.126999999999999</v>
      </c>
      <c r="K14" s="269">
        <f t="shared" si="1"/>
        <v>30.975999999999999</v>
      </c>
      <c r="L14" s="269">
        <f t="shared" si="1"/>
        <v>31.850999999999999</v>
      </c>
      <c r="M14" s="269"/>
      <c r="N14" s="269"/>
      <c r="O14" s="220"/>
      <c r="P14" s="313" t="s">
        <v>445</v>
      </c>
      <c r="Q14" s="286" t="str">
        <f t="shared" si="2"/>
        <v>01588C</v>
      </c>
      <c r="R14" s="309" t="str">
        <f t="shared" si="2"/>
        <v>Cement Finisher Apprentice IV (Next 696 hours)</v>
      </c>
      <c r="S14" s="321">
        <f t="shared" si="0"/>
        <v>29.302</v>
      </c>
      <c r="T14" s="321">
        <f>ROUND(IF($P14="Y",((VLOOKUP($Q14,Rates2020,4,0)+LIUNA2021)*PercIncr2021)-LIUNA2021,VLOOKUP($Q14,Rates2020,4,0)),3)</f>
        <v>30.126999999999999</v>
      </c>
      <c r="U14" s="321">
        <f>ROUND(IF($P14="Y",((VLOOKUP($Q14,Rates2020,5,0)+LIUNA2021)*PercIncr2021)-LIUNA2021,VLOOKUP($Q14,Rates2020,5,0)),3)</f>
        <v>30.975999999999999</v>
      </c>
      <c r="V14" s="321">
        <f>ROUND(IF($P14="Y",((VLOOKUP($Q14,Rates2020,6,0)+LIUNA2021)*PercIncr2021)-LIUNA2021,VLOOKUP($Q14,Rates2020,6,0)),3)</f>
        <v>31.850999999999999</v>
      </c>
      <c r="W14" s="321"/>
      <c r="X14" s="321"/>
      <c r="Y14" s="321"/>
    </row>
    <row r="15" spans="1:26">
      <c r="A15" s="219" t="s">
        <v>52</v>
      </c>
      <c r="B15" s="162">
        <v>188</v>
      </c>
      <c r="C15" s="162">
        <v>4</v>
      </c>
      <c r="D15" s="162" t="s">
        <v>17</v>
      </c>
      <c r="E15" s="162" t="s">
        <v>18</v>
      </c>
      <c r="F15" s="219" t="s">
        <v>52</v>
      </c>
      <c r="G15" s="162" t="s">
        <v>53</v>
      </c>
      <c r="H15" s="211" t="s">
        <v>54</v>
      </c>
      <c r="I15" s="269">
        <f t="shared" si="1"/>
        <v>19.13</v>
      </c>
      <c r="J15" s="269">
        <f t="shared" si="1"/>
        <v>21.96</v>
      </c>
      <c r="K15" s="269">
        <f t="shared" si="1"/>
        <v>26.591000000000001</v>
      </c>
      <c r="L15" s="269"/>
      <c r="M15" s="269"/>
      <c r="N15" s="269"/>
      <c r="O15" s="220"/>
      <c r="P15" s="313" t="s">
        <v>445</v>
      </c>
      <c r="Q15" s="286" t="str">
        <f t="shared" si="2"/>
        <v>02616C</v>
      </c>
      <c r="R15" s="309" t="str">
        <f t="shared" si="2"/>
        <v>Constr Maint Labor WU Shop-C</v>
      </c>
      <c r="S15" s="321">
        <f t="shared" si="0"/>
        <v>19.13</v>
      </c>
      <c r="T15" s="321">
        <f>ROUND(IF($P15="Y",((VLOOKUP($Q15,Rates2020,4,0)+LIUNA2021)*PercIncr2021)-LIUNA2021,VLOOKUP($Q15,Rates2020,4,0)),3)</f>
        <v>21.96</v>
      </c>
      <c r="U15" s="321">
        <f>ROUND(IF($P15="Y",((VLOOKUP($Q15,Rates2020,5,0)+LIUNA2021)*PercIncr2021)-LIUNA2021,VLOOKUP($Q15,Rates2020,5,0)),3)</f>
        <v>26.591000000000001</v>
      </c>
      <c r="V15" s="321"/>
      <c r="W15" s="321"/>
      <c r="X15" s="321"/>
      <c r="Y15" s="321"/>
    </row>
    <row r="16" spans="1:26">
      <c r="A16" s="219" t="s">
        <v>332</v>
      </c>
      <c r="B16" s="162">
        <v>273</v>
      </c>
      <c r="C16" s="162">
        <v>6</v>
      </c>
      <c r="D16" s="162" t="s">
        <v>17</v>
      </c>
      <c r="E16" s="162" t="s">
        <v>18</v>
      </c>
      <c r="F16" s="219"/>
      <c r="G16" s="162" t="s">
        <v>377</v>
      </c>
      <c r="H16" s="211" t="s">
        <v>378</v>
      </c>
      <c r="I16" s="269">
        <f t="shared" si="1"/>
        <v>30.783999999999999</v>
      </c>
      <c r="J16" s="269"/>
      <c r="K16" s="269"/>
      <c r="L16" s="269"/>
      <c r="M16" s="269"/>
      <c r="N16" s="269"/>
      <c r="O16" s="220"/>
      <c r="P16" s="312" t="s">
        <v>445</v>
      </c>
      <c r="Q16" s="286" t="str">
        <f t="shared" si="2"/>
        <v>52921C</v>
      </c>
      <c r="R16" s="309" t="str">
        <f t="shared" si="2"/>
        <v>Construction Crew Leader</v>
      </c>
      <c r="S16" s="321">
        <f t="shared" si="0"/>
        <v>30.783999999999999</v>
      </c>
      <c r="T16" s="322"/>
      <c r="U16" s="322"/>
      <c r="V16" s="321"/>
      <c r="W16" s="321"/>
      <c r="X16" s="321"/>
      <c r="Y16" s="321"/>
      <c r="Z16" s="219"/>
    </row>
    <row r="17" spans="1:25">
      <c r="A17" s="219" t="s">
        <v>52</v>
      </c>
      <c r="B17" s="162">
        <v>188</v>
      </c>
      <c r="C17" s="162">
        <v>4</v>
      </c>
      <c r="D17" s="162" t="s">
        <v>17</v>
      </c>
      <c r="E17" s="162" t="s">
        <v>18</v>
      </c>
      <c r="F17" s="219" t="s">
        <v>52</v>
      </c>
      <c r="G17" s="162" t="s">
        <v>56</v>
      </c>
      <c r="H17" s="211" t="s">
        <v>57</v>
      </c>
      <c r="I17" s="269">
        <f t="shared" si="1"/>
        <v>19.13</v>
      </c>
      <c r="J17" s="269">
        <f t="shared" si="1"/>
        <v>21.96</v>
      </c>
      <c r="K17" s="269">
        <f t="shared" si="1"/>
        <v>26.591000000000001</v>
      </c>
      <c r="L17" s="269"/>
      <c r="M17" s="269"/>
      <c r="N17" s="269"/>
      <c r="O17" s="220"/>
      <c r="P17" s="313" t="s">
        <v>445</v>
      </c>
      <c r="Q17" s="286" t="str">
        <f t="shared" si="2"/>
        <v>02610C</v>
      </c>
      <c r="R17" s="309" t="str">
        <f t="shared" si="2"/>
        <v>Construction Maint Laborer</v>
      </c>
      <c r="S17" s="321">
        <f t="shared" si="0"/>
        <v>19.13</v>
      </c>
      <c r="T17" s="321">
        <f>ROUND(IF($P17="Y",((VLOOKUP($Q17,Rates2020,4,0)+LIUNA2021)*PercIncr2021)-LIUNA2021,VLOOKUP($Q17,Rates2020,4,0)),3)</f>
        <v>21.96</v>
      </c>
      <c r="U17" s="321">
        <f>ROUND(IF($P17="Y",((VLOOKUP($Q17,Rates2020,5,0)+LIUNA2021)*PercIncr2021)-LIUNA2021,VLOOKUP($Q17,Rates2020,5,0)),3)</f>
        <v>26.591000000000001</v>
      </c>
      <c r="V17" s="322"/>
      <c r="W17" s="321"/>
      <c r="X17" s="321"/>
      <c r="Y17" s="321"/>
    </row>
    <row r="18" spans="1:25">
      <c r="A18" s="219" t="s">
        <v>47</v>
      </c>
      <c r="B18" s="162">
        <v>153</v>
      </c>
      <c r="C18" s="162">
        <v>3</v>
      </c>
      <c r="D18" s="162" t="s">
        <v>17</v>
      </c>
      <c r="E18" s="162" t="s">
        <v>18</v>
      </c>
      <c r="F18" s="219" t="s">
        <v>47</v>
      </c>
      <c r="G18" s="162" t="s">
        <v>58</v>
      </c>
      <c r="H18" s="211" t="s">
        <v>59</v>
      </c>
      <c r="I18" s="269">
        <f t="shared" si="1"/>
        <v>15.865</v>
      </c>
      <c r="J18" s="269">
        <f t="shared" si="1"/>
        <v>18.47</v>
      </c>
      <c r="K18" s="269">
        <f t="shared" si="1"/>
        <v>19.536000000000001</v>
      </c>
      <c r="L18" s="269">
        <f t="shared" si="1"/>
        <v>24.567</v>
      </c>
      <c r="M18" s="269"/>
      <c r="N18" s="269"/>
      <c r="O18" s="220"/>
      <c r="P18" s="313" t="s">
        <v>445</v>
      </c>
      <c r="Q18" s="286" t="str">
        <f t="shared" si="2"/>
        <v>05850C</v>
      </c>
      <c r="R18" s="309" t="str">
        <f t="shared" si="2"/>
        <v>Custodian Property Services</v>
      </c>
      <c r="S18" s="321">
        <f t="shared" si="0"/>
        <v>15.865</v>
      </c>
      <c r="T18" s="321">
        <f>ROUND(IF($P18="Y",((VLOOKUP($Q18,Rates2020,4,0)+LIUNA2021)*PercIncr2021)-LIUNA2021,VLOOKUP($Q18,Rates2020,4,0)),3)</f>
        <v>18.47</v>
      </c>
      <c r="U18" s="321">
        <f>ROUND(IF($P18="Y",((VLOOKUP($Q18,Rates2020,5,0)+LIUNA2021)*PercIncr2021)-LIUNA2021,VLOOKUP($Q18,Rates2020,5,0)),3)</f>
        <v>19.536000000000001</v>
      </c>
      <c r="V18" s="321">
        <f>ROUND(IF($P18="Y",((VLOOKUP($Q18,Rates2020,6,0)+LIUNA2021)*PercIncr2021)-LIUNA2021,VLOOKUP($Q18,Rates2020,6,0)),3)</f>
        <v>24.567</v>
      </c>
      <c r="W18" s="321"/>
      <c r="X18" s="321"/>
      <c r="Y18" s="321"/>
    </row>
    <row r="19" spans="1:25">
      <c r="A19" s="219" t="s">
        <v>47</v>
      </c>
      <c r="B19" s="162">
        <v>160</v>
      </c>
      <c r="C19" s="162">
        <v>3</v>
      </c>
      <c r="D19" s="162" t="s">
        <v>17</v>
      </c>
      <c r="E19" s="162" t="s">
        <v>18</v>
      </c>
      <c r="F19" s="219" t="s">
        <v>47</v>
      </c>
      <c r="G19" s="162" t="s">
        <v>60</v>
      </c>
      <c r="H19" s="211" t="s">
        <v>61</v>
      </c>
      <c r="I19" s="269">
        <f t="shared" si="1"/>
        <v>15.865</v>
      </c>
      <c r="J19" s="269">
        <f t="shared" si="1"/>
        <v>18.47</v>
      </c>
      <c r="K19" s="269">
        <f t="shared" si="1"/>
        <v>19.536000000000001</v>
      </c>
      <c r="L19" s="269">
        <f t="shared" si="1"/>
        <v>24.567</v>
      </c>
      <c r="M19" s="269"/>
      <c r="N19" s="269"/>
      <c r="O19" s="220"/>
      <c r="P19" s="313" t="s">
        <v>445</v>
      </c>
      <c r="Q19" s="286" t="str">
        <f t="shared" si="2"/>
        <v>02960C</v>
      </c>
      <c r="R19" s="309" t="str">
        <f t="shared" si="2"/>
        <v>Delivery Worker</v>
      </c>
      <c r="S19" s="321">
        <f t="shared" si="0"/>
        <v>15.865</v>
      </c>
      <c r="T19" s="321">
        <f>ROUND(IF($P19="Y",((VLOOKUP($Q19,Rates2020,4,0)+LIUNA2021)*PercIncr2021)-LIUNA2021,VLOOKUP($Q19,Rates2020,4,0)),3)</f>
        <v>18.47</v>
      </c>
      <c r="U19" s="321">
        <f>ROUND(IF($P19="Y",((VLOOKUP($Q19,Rates2020,5,0)+LIUNA2021)*PercIncr2021)-LIUNA2021,VLOOKUP($Q19,Rates2020,5,0)),3)</f>
        <v>19.536000000000001</v>
      </c>
      <c r="V19" s="321">
        <f>ROUND(IF($P19="Y",((VLOOKUP($Q19,Rates2020,6,0)+LIUNA2021)*PercIncr2021)-LIUNA2021,VLOOKUP($Q19,Rates2020,6,0)),3)</f>
        <v>24.567</v>
      </c>
      <c r="W19" s="321"/>
      <c r="X19" s="321"/>
      <c r="Y19" s="321"/>
    </row>
    <row r="20" spans="1:25">
      <c r="A20" s="219" t="s">
        <v>62</v>
      </c>
      <c r="B20" s="162">
        <v>190</v>
      </c>
      <c r="C20" s="162">
        <v>4</v>
      </c>
      <c r="D20" s="162" t="s">
        <v>17</v>
      </c>
      <c r="E20" s="162" t="s">
        <v>18</v>
      </c>
      <c r="F20" s="219" t="s">
        <v>62</v>
      </c>
      <c r="G20" s="162" t="s">
        <v>63</v>
      </c>
      <c r="H20" s="211" t="s">
        <v>64</v>
      </c>
      <c r="I20" s="269">
        <f t="shared" si="1"/>
        <v>16.364999999999998</v>
      </c>
      <c r="J20" s="269">
        <f t="shared" si="1"/>
        <v>19.055</v>
      </c>
      <c r="K20" s="269">
        <f t="shared" si="1"/>
        <v>21.925000000000001</v>
      </c>
      <c r="L20" s="269">
        <f t="shared" si="1"/>
        <v>26.481000000000002</v>
      </c>
      <c r="M20" s="269"/>
      <c r="N20" s="269"/>
      <c r="O20" s="220"/>
      <c r="P20" s="313" t="s">
        <v>445</v>
      </c>
      <c r="Q20" s="286" t="str">
        <f t="shared" si="2"/>
        <v>04170C</v>
      </c>
      <c r="R20" s="309" t="str">
        <f t="shared" si="2"/>
        <v>Equipment Service Worker</v>
      </c>
      <c r="S20" s="321">
        <f t="shared" si="0"/>
        <v>16.364999999999998</v>
      </c>
      <c r="T20" s="321">
        <f>ROUND(IF($P20="Y",((VLOOKUP($Q20,Rates2020,4,0)+LIUNA2021)*PercIncr2021)-LIUNA2021,VLOOKUP($Q20,Rates2020,4,0)),3)</f>
        <v>19.055</v>
      </c>
      <c r="U20" s="321">
        <f>ROUND(IF($P20="Y",((VLOOKUP($Q20,Rates2020,5,0)+LIUNA2021)*PercIncr2021)-LIUNA2021,VLOOKUP($Q20,Rates2020,5,0)),3)</f>
        <v>21.925000000000001</v>
      </c>
      <c r="V20" s="321">
        <f>ROUND(IF($P20="Y",((VLOOKUP($Q20,Rates2020,6,0)+LIUNA2021)*PercIncr2021)-LIUNA2021,VLOOKUP($Q20,Rates2020,6,0)),3)</f>
        <v>26.481000000000002</v>
      </c>
      <c r="W20" s="321"/>
      <c r="X20" s="321"/>
      <c r="Y20" s="321"/>
    </row>
    <row r="21" spans="1:25">
      <c r="A21" s="219" t="s">
        <v>65</v>
      </c>
      <c r="B21" s="162">
        <v>263</v>
      </c>
      <c r="C21" s="162">
        <v>5</v>
      </c>
      <c r="D21" s="162" t="s">
        <v>17</v>
      </c>
      <c r="E21" s="162" t="s">
        <v>18</v>
      </c>
      <c r="F21" s="219" t="s">
        <v>65</v>
      </c>
      <c r="G21" s="162" t="s">
        <v>66</v>
      </c>
      <c r="H21" s="211" t="s">
        <v>67</v>
      </c>
      <c r="I21" s="269">
        <f t="shared" si="1"/>
        <v>25.539000000000001</v>
      </c>
      <c r="J21" s="269">
        <f t="shared" si="1"/>
        <v>26.398</v>
      </c>
      <c r="K21" s="269">
        <f t="shared" si="1"/>
        <v>27.286999999999999</v>
      </c>
      <c r="L21" s="269">
        <f t="shared" si="1"/>
        <v>28.384</v>
      </c>
      <c r="M21" s="269"/>
      <c r="N21" s="269"/>
      <c r="O21" s="220"/>
      <c r="P21" s="313" t="s">
        <v>445</v>
      </c>
      <c r="Q21" s="286" t="str">
        <f t="shared" si="2"/>
        <v>05958C</v>
      </c>
      <c r="R21" s="309" t="str">
        <f t="shared" si="2"/>
        <v>Lead Custodian Property Services</v>
      </c>
      <c r="S21" s="321">
        <f t="shared" si="0"/>
        <v>25.539000000000001</v>
      </c>
      <c r="T21" s="321">
        <f>ROUND(IF($P21="Y",((VLOOKUP($Q21,Rates2020,4,0)+LIUNA2021)*PercIncr2021)-LIUNA2021,VLOOKUP($Q21,Rates2020,4,0)),3)</f>
        <v>26.398</v>
      </c>
      <c r="U21" s="321">
        <f>ROUND(IF($P21="Y",((VLOOKUP($Q21,Rates2020,5,0)+LIUNA2021)*PercIncr2021)-LIUNA2021,VLOOKUP($Q21,Rates2020,5,0)),3)</f>
        <v>27.286999999999999</v>
      </c>
      <c r="V21" s="321">
        <f>ROUND(IF($P21="Y",((VLOOKUP($Q21,Rates2020,6,0)+LIUNA2021)*PercIncr2021)-LIUNA2021,VLOOKUP($Q21,Rates2020,6,0)),3)</f>
        <v>28.384</v>
      </c>
      <c r="W21" s="321"/>
      <c r="X21" s="321"/>
      <c r="Y21" s="321"/>
    </row>
    <row r="22" spans="1:25">
      <c r="A22" s="219">
        <v>11</v>
      </c>
      <c r="B22" s="162">
        <v>205</v>
      </c>
      <c r="C22" s="162">
        <v>4</v>
      </c>
      <c r="D22" s="162" t="s">
        <v>17</v>
      </c>
      <c r="E22" s="162" t="s">
        <v>18</v>
      </c>
      <c r="F22" s="219">
        <v>11</v>
      </c>
      <c r="G22" s="162" t="s">
        <v>68</v>
      </c>
      <c r="H22" s="211" t="s">
        <v>325</v>
      </c>
      <c r="I22" s="269">
        <f t="shared" si="1"/>
        <v>28.997</v>
      </c>
      <c r="J22" s="269"/>
      <c r="K22" s="269"/>
      <c r="L22" s="269"/>
      <c r="M22" s="269"/>
      <c r="N22" s="269"/>
      <c r="O22" s="220"/>
      <c r="P22" s="312" t="s">
        <v>445</v>
      </c>
      <c r="Q22" s="286" t="str">
        <f t="shared" si="2"/>
        <v>06030C</v>
      </c>
      <c r="R22" s="309" t="str">
        <f t="shared" si="2"/>
        <v>Lead Pipe Layer I (Paving Const.)</v>
      </c>
      <c r="S22" s="321">
        <f t="shared" si="0"/>
        <v>28.997</v>
      </c>
      <c r="T22" s="321"/>
      <c r="U22" s="321"/>
      <c r="V22" s="321"/>
      <c r="W22" s="321"/>
      <c r="X22" s="321"/>
      <c r="Y22" s="321"/>
    </row>
    <row r="23" spans="1:25">
      <c r="A23" s="219" t="s">
        <v>319</v>
      </c>
      <c r="B23" s="162">
        <v>205</v>
      </c>
      <c r="C23" s="162">
        <v>4</v>
      </c>
      <c r="D23" s="162" t="s">
        <v>17</v>
      </c>
      <c r="E23" s="162" t="s">
        <v>18</v>
      </c>
      <c r="F23" s="219" t="s">
        <v>19</v>
      </c>
      <c r="G23" s="162" t="s">
        <v>71</v>
      </c>
      <c r="H23" s="223" t="s">
        <v>379</v>
      </c>
      <c r="I23" s="269">
        <f t="shared" si="1"/>
        <v>26.34</v>
      </c>
      <c r="J23" s="269">
        <f t="shared" si="1"/>
        <v>27.164000000000001</v>
      </c>
      <c r="K23" s="269">
        <f t="shared" si="1"/>
        <v>28.013999999999999</v>
      </c>
      <c r="L23" s="269">
        <f t="shared" si="1"/>
        <v>28.888999999999999</v>
      </c>
      <c r="M23" s="269"/>
      <c r="N23" s="269"/>
      <c r="O23" s="220"/>
      <c r="P23" s="312" t="s">
        <v>445</v>
      </c>
      <c r="Q23" s="286" t="str">
        <f t="shared" si="2"/>
        <v>06035C</v>
      </c>
      <c r="R23" s="309" t="str">
        <f t="shared" si="2"/>
        <v>Lead Pipe Layer I (Paving Const.) Apprentice I (1st 522 hours)</v>
      </c>
      <c r="S23" s="321">
        <f t="shared" si="0"/>
        <v>26.34</v>
      </c>
      <c r="T23" s="321">
        <f>ROUND(IF($P23="Y",((VLOOKUP($Q23,Rates2020,4,0)+LIUNA2021)*PercIncr2021)-LIUNA2021,VLOOKUP($Q23,Rates2020,4,0)),3)</f>
        <v>27.164000000000001</v>
      </c>
      <c r="U23" s="321">
        <f>ROUND(IF($P23="Y",((VLOOKUP($Q23,Rates2020,5,0)+LIUNA2021)*PercIncr2021)-LIUNA2021,VLOOKUP($Q23,Rates2020,5,0)),3)</f>
        <v>28.013999999999999</v>
      </c>
      <c r="V23" s="321">
        <f>ROUND(IF($P23="Y",((VLOOKUP($Q23,Rates2020,6,0)+LIUNA2021)*PercIncr2021)-LIUNA2021,VLOOKUP($Q23,Rates2020,6,0)),3)</f>
        <v>28.888999999999999</v>
      </c>
      <c r="W23" s="321"/>
      <c r="X23" s="321"/>
      <c r="Y23" s="321"/>
    </row>
    <row r="24" spans="1:25">
      <c r="A24" s="219" t="s">
        <v>321</v>
      </c>
      <c r="B24" s="162">
        <v>205</v>
      </c>
      <c r="C24" s="162">
        <v>4</v>
      </c>
      <c r="D24" s="162" t="s">
        <v>17</v>
      </c>
      <c r="E24" s="162" t="s">
        <v>18</v>
      </c>
      <c r="F24" s="219" t="s">
        <v>19</v>
      </c>
      <c r="G24" s="162" t="s">
        <v>74</v>
      </c>
      <c r="H24" s="223" t="s">
        <v>326</v>
      </c>
      <c r="I24" s="269">
        <f t="shared" si="1"/>
        <v>26.780999999999999</v>
      </c>
      <c r="J24" s="269">
        <f t="shared" si="1"/>
        <v>27.606000000000002</v>
      </c>
      <c r="K24" s="269">
        <f t="shared" si="1"/>
        <v>28.454999999999998</v>
      </c>
      <c r="L24" s="269">
        <f t="shared" si="1"/>
        <v>29.33</v>
      </c>
      <c r="M24" s="269"/>
      <c r="N24" s="269"/>
      <c r="O24" s="220"/>
      <c r="P24" s="312" t="s">
        <v>445</v>
      </c>
      <c r="Q24" s="286" t="str">
        <f t="shared" si="2"/>
        <v>06037C</v>
      </c>
      <c r="R24" s="309" t="str">
        <f t="shared" si="2"/>
        <v>Lead Pipe Layer I (Paving Const.) Apprentice II (2nd 522 hours)</v>
      </c>
      <c r="S24" s="321">
        <f t="shared" si="0"/>
        <v>26.780999999999999</v>
      </c>
      <c r="T24" s="321">
        <f>ROUND(IF($P24="Y",((VLOOKUP($Q24,Rates2020,4,0)+LIUNA2021)*PercIncr2021)-LIUNA2021,VLOOKUP($Q24,Rates2020,4,0)),3)</f>
        <v>27.606000000000002</v>
      </c>
      <c r="U24" s="321">
        <f>ROUND(IF($P24="Y",((VLOOKUP($Q24,Rates2020,5,0)+LIUNA2021)*PercIncr2021)-LIUNA2021,VLOOKUP($Q24,Rates2020,5,0)),3)</f>
        <v>28.454999999999998</v>
      </c>
      <c r="V24" s="321">
        <f>ROUND(IF($P24="Y",((VLOOKUP($Q24,Rates2020,6,0)+LIUNA2021)*PercIncr2021)-LIUNA2021,VLOOKUP($Q24,Rates2020,6,0)),3)</f>
        <v>29.33</v>
      </c>
      <c r="W24" s="321"/>
      <c r="X24" s="321"/>
      <c r="Y24" s="321"/>
    </row>
    <row r="25" spans="1:25">
      <c r="A25" s="219" t="s">
        <v>76</v>
      </c>
      <c r="B25" s="162">
        <v>205</v>
      </c>
      <c r="C25" s="162">
        <v>4</v>
      </c>
      <c r="D25" s="162" t="s">
        <v>17</v>
      </c>
      <c r="E25" s="162" t="s">
        <v>18</v>
      </c>
      <c r="F25" s="219" t="s">
        <v>76</v>
      </c>
      <c r="G25" s="162" t="s">
        <v>77</v>
      </c>
      <c r="H25" s="211" t="s">
        <v>327</v>
      </c>
      <c r="I25" s="269">
        <f t="shared" si="1"/>
        <v>29.295000000000002</v>
      </c>
      <c r="J25" s="269"/>
      <c r="K25" s="269"/>
      <c r="L25" s="269"/>
      <c r="M25" s="269"/>
      <c r="N25" s="269"/>
      <c r="O25" s="220"/>
      <c r="P25" s="312" t="s">
        <v>445</v>
      </c>
      <c r="Q25" s="286" t="str">
        <f t="shared" si="2"/>
        <v>06050C</v>
      </c>
      <c r="R25" s="309" t="str">
        <f t="shared" si="2"/>
        <v>Lead Pipe Layer II (Water Const.)</v>
      </c>
      <c r="S25" s="321">
        <f t="shared" si="0"/>
        <v>29.295000000000002</v>
      </c>
      <c r="T25" s="323"/>
      <c r="U25" s="321"/>
      <c r="V25" s="322"/>
      <c r="W25" s="321"/>
      <c r="X25" s="321"/>
      <c r="Y25" s="321"/>
    </row>
    <row r="26" spans="1:25">
      <c r="A26" s="219" t="s">
        <v>319</v>
      </c>
      <c r="B26" s="162">
        <v>205</v>
      </c>
      <c r="C26" s="162">
        <v>4</v>
      </c>
      <c r="D26" s="162" t="s">
        <v>17</v>
      </c>
      <c r="E26" s="162" t="s">
        <v>18</v>
      </c>
      <c r="F26" s="219" t="s">
        <v>19</v>
      </c>
      <c r="G26" s="162" t="s">
        <v>80</v>
      </c>
      <c r="H26" s="223" t="s">
        <v>328</v>
      </c>
      <c r="I26" s="269">
        <f t="shared" si="1"/>
        <v>26.34</v>
      </c>
      <c r="J26" s="269">
        <f t="shared" si="1"/>
        <v>27.164000000000001</v>
      </c>
      <c r="K26" s="269">
        <f t="shared" si="1"/>
        <v>28.013999999999999</v>
      </c>
      <c r="L26" s="269">
        <f t="shared" si="1"/>
        <v>28.888999999999999</v>
      </c>
      <c r="M26" s="269"/>
      <c r="N26" s="269"/>
      <c r="O26" s="220"/>
      <c r="P26" s="312" t="s">
        <v>445</v>
      </c>
      <c r="Q26" s="286" t="str">
        <f t="shared" si="2"/>
        <v>06056C</v>
      </c>
      <c r="R26" s="309" t="str">
        <f t="shared" si="2"/>
        <v>Lead Pipe Layer II (Water Const.) Apprentice I (1st 522 hours)</v>
      </c>
      <c r="S26" s="321">
        <f t="shared" si="0"/>
        <v>26.34</v>
      </c>
      <c r="T26" s="321">
        <f>ROUND(IF($P26="Y",((VLOOKUP($Q26,Rates2020,4,0)+LIUNA2021)*PercIncr2021)-LIUNA2021,VLOOKUP($Q26,Rates2020,4,0)),3)</f>
        <v>27.164000000000001</v>
      </c>
      <c r="U26" s="321">
        <f>ROUND(IF($P26="Y",((VLOOKUP($Q26,Rates2020,5,0)+LIUNA2021)*PercIncr2021)-LIUNA2021,VLOOKUP($Q26,Rates2020,5,0)),3)</f>
        <v>28.013999999999999</v>
      </c>
      <c r="V26" s="321">
        <f>ROUND(IF($P26="Y",((VLOOKUP($Q26,Rates2020,6,0)+LIUNA2021)*PercIncr2021)-LIUNA2021,VLOOKUP($Q26,Rates2020,6,0)),3)</f>
        <v>28.888999999999999</v>
      </c>
      <c r="W26" s="321"/>
      <c r="X26" s="321"/>
      <c r="Y26" s="321"/>
    </row>
    <row r="27" spans="1:25">
      <c r="A27" s="219" t="s">
        <v>321</v>
      </c>
      <c r="B27" s="162">
        <v>205</v>
      </c>
      <c r="C27" s="162">
        <v>4</v>
      </c>
      <c r="D27" s="162" t="s">
        <v>17</v>
      </c>
      <c r="E27" s="162" t="s">
        <v>18</v>
      </c>
      <c r="F27" s="219" t="s">
        <v>19</v>
      </c>
      <c r="G27" s="162" t="s">
        <v>83</v>
      </c>
      <c r="H27" s="223" t="s">
        <v>329</v>
      </c>
      <c r="I27" s="269">
        <f t="shared" si="1"/>
        <v>26.780999999999999</v>
      </c>
      <c r="J27" s="269">
        <f t="shared" si="1"/>
        <v>27.606000000000002</v>
      </c>
      <c r="K27" s="269">
        <f t="shared" si="1"/>
        <v>28.454999999999998</v>
      </c>
      <c r="L27" s="269">
        <f t="shared" si="1"/>
        <v>29.33</v>
      </c>
      <c r="M27" s="269"/>
      <c r="N27" s="269"/>
      <c r="O27" s="220"/>
      <c r="P27" s="312" t="s">
        <v>445</v>
      </c>
      <c r="Q27" s="286" t="str">
        <f t="shared" si="2"/>
        <v>06057C</v>
      </c>
      <c r="R27" s="309" t="str">
        <f t="shared" si="2"/>
        <v>Lead Pipe Layer II (Water Const.) Apprentice II (2nd 522 hours)</v>
      </c>
      <c r="S27" s="321">
        <f t="shared" si="0"/>
        <v>26.780999999999999</v>
      </c>
      <c r="T27" s="321">
        <f>ROUND(IF($P27="Y",((VLOOKUP($Q27,Rates2020,4,0)+LIUNA2021)*PercIncr2021)-LIUNA2021,VLOOKUP($Q27,Rates2020,4,0)),3)</f>
        <v>27.606000000000002</v>
      </c>
      <c r="U27" s="321">
        <f>ROUND(IF($P27="Y",((VLOOKUP($Q27,Rates2020,5,0)+LIUNA2021)*PercIncr2021)-LIUNA2021,VLOOKUP($Q27,Rates2020,5,0)),3)</f>
        <v>28.454999999999998</v>
      </c>
      <c r="V27" s="321">
        <f>ROUND(IF($P27="Y",((VLOOKUP($Q27,Rates2020,6,0)+LIUNA2021)*PercIncr2021)-LIUNA2021,VLOOKUP($Q27,Rates2020,6,0)),3)</f>
        <v>29.33</v>
      </c>
      <c r="W27" s="321"/>
      <c r="X27" s="321"/>
      <c r="Y27" s="321"/>
    </row>
    <row r="28" spans="1:25">
      <c r="A28" s="219" t="s">
        <v>330</v>
      </c>
      <c r="B28" s="162">
        <v>205</v>
      </c>
      <c r="C28" s="162">
        <v>4</v>
      </c>
      <c r="D28" s="162" t="s">
        <v>17</v>
      </c>
      <c r="E28" s="162" t="s">
        <v>18</v>
      </c>
      <c r="F28" s="219" t="s">
        <v>19</v>
      </c>
      <c r="G28" s="162" t="s">
        <v>86</v>
      </c>
      <c r="H28" s="223" t="s">
        <v>331</v>
      </c>
      <c r="I28" s="269">
        <f t="shared" si="1"/>
        <v>27.033000000000001</v>
      </c>
      <c r="J28" s="269">
        <f t="shared" si="1"/>
        <v>27.858000000000001</v>
      </c>
      <c r="K28" s="269">
        <f t="shared" si="1"/>
        <v>28.707000000000001</v>
      </c>
      <c r="L28" s="269">
        <f t="shared" si="1"/>
        <v>29.582000000000001</v>
      </c>
      <c r="M28" s="269"/>
      <c r="N28" s="269"/>
      <c r="O28" s="220"/>
      <c r="P28" s="312" t="s">
        <v>445</v>
      </c>
      <c r="Q28" s="286" t="str">
        <f t="shared" si="2"/>
        <v>06058C</v>
      </c>
      <c r="R28" s="309" t="str">
        <f t="shared" si="2"/>
        <v>Lead Pipe Layer II (Water Const.) Apprentice III (3rd 522 hours)</v>
      </c>
      <c r="S28" s="321">
        <f t="shared" si="0"/>
        <v>27.033000000000001</v>
      </c>
      <c r="T28" s="321">
        <f>ROUND(IF($P28="Y",((VLOOKUP($Q28,Rates2020,4,0)+LIUNA2021)*PercIncr2021)-LIUNA2021,VLOOKUP($Q28,Rates2020,4,0)),3)</f>
        <v>27.858000000000001</v>
      </c>
      <c r="U28" s="321">
        <f>ROUND(IF($P28="Y",((VLOOKUP($Q28,Rates2020,5,0)+LIUNA2021)*PercIncr2021)-LIUNA2021,VLOOKUP($Q28,Rates2020,5,0)),3)</f>
        <v>28.707000000000001</v>
      </c>
      <c r="V28" s="321">
        <f>ROUND(IF($P28="Y",((VLOOKUP($Q28,Rates2020,6,0)+LIUNA2021)*PercIncr2021)-LIUNA2021,VLOOKUP($Q28,Rates2020,6,0)),3)</f>
        <v>29.582000000000001</v>
      </c>
      <c r="W28" s="321"/>
      <c r="X28" s="321"/>
      <c r="Y28" s="321"/>
    </row>
    <row r="29" spans="1:25">
      <c r="A29" s="219" t="s">
        <v>332</v>
      </c>
      <c r="B29" s="162">
        <v>205</v>
      </c>
      <c r="C29" s="162">
        <v>4</v>
      </c>
      <c r="D29" s="162" t="s">
        <v>17</v>
      </c>
      <c r="E29" s="162" t="s">
        <v>18</v>
      </c>
      <c r="F29" s="219" t="s">
        <v>88</v>
      </c>
      <c r="G29" s="162" t="s">
        <v>90</v>
      </c>
      <c r="H29" s="223" t="s">
        <v>333</v>
      </c>
      <c r="I29" s="269">
        <f t="shared" si="1"/>
        <v>30.783999999999999</v>
      </c>
      <c r="J29" s="269"/>
      <c r="K29" s="269"/>
      <c r="L29" s="269"/>
      <c r="M29" s="269"/>
      <c r="N29" s="269"/>
      <c r="O29" s="220"/>
      <c r="P29" s="312" t="s">
        <v>445</v>
      </c>
      <c r="Q29" s="286" t="str">
        <f t="shared" si="2"/>
        <v>06066C</v>
      </c>
      <c r="R29" s="309" t="str">
        <f t="shared" si="2"/>
        <v>Lead Pipe Layer III (Sewer Const.)</v>
      </c>
      <c r="S29" s="321">
        <f t="shared" si="0"/>
        <v>30.783999999999999</v>
      </c>
      <c r="T29" s="321"/>
      <c r="U29" s="321"/>
      <c r="V29" s="322"/>
      <c r="W29" s="321"/>
      <c r="X29" s="321"/>
      <c r="Y29" s="321"/>
    </row>
    <row r="30" spans="1:25">
      <c r="A30" s="219" t="s">
        <v>319</v>
      </c>
      <c r="B30" s="162">
        <v>205</v>
      </c>
      <c r="C30" s="162">
        <v>4</v>
      </c>
      <c r="D30" s="162" t="s">
        <v>17</v>
      </c>
      <c r="E30" s="162" t="s">
        <v>18</v>
      </c>
      <c r="F30" s="219" t="s">
        <v>19</v>
      </c>
      <c r="G30" s="162" t="s">
        <v>93</v>
      </c>
      <c r="H30" s="223" t="s">
        <v>334</v>
      </c>
      <c r="I30" s="269">
        <f t="shared" si="1"/>
        <v>26.34</v>
      </c>
      <c r="J30" s="269">
        <f t="shared" si="1"/>
        <v>27.164000000000001</v>
      </c>
      <c r="K30" s="269">
        <f t="shared" si="1"/>
        <v>28.013999999999999</v>
      </c>
      <c r="L30" s="269">
        <f t="shared" si="1"/>
        <v>28.888999999999999</v>
      </c>
      <c r="M30" s="269"/>
      <c r="N30" s="269"/>
      <c r="O30" s="220"/>
      <c r="P30" s="312" t="s">
        <v>445</v>
      </c>
      <c r="Q30" s="286" t="str">
        <f t="shared" si="2"/>
        <v>06067C</v>
      </c>
      <c r="R30" s="309" t="str">
        <f t="shared" si="2"/>
        <v>Lead Pipe Layer III (Sewer Const.) Apprentice I (1st 522 hours)</v>
      </c>
      <c r="S30" s="321">
        <f t="shared" si="0"/>
        <v>26.34</v>
      </c>
      <c r="T30" s="321">
        <f>ROUND(IF($P30="Y",((VLOOKUP($Q30,Rates2020,4,0)+LIUNA2021)*PercIncr2021)-LIUNA2021,VLOOKUP($Q30,Rates2020,4,0)),3)</f>
        <v>27.164000000000001</v>
      </c>
      <c r="U30" s="321">
        <f>ROUND(IF($P30="Y",((VLOOKUP($Q30,Rates2020,5,0)+LIUNA2021)*PercIncr2021)-LIUNA2021,VLOOKUP($Q30,Rates2020,5,0)),3)</f>
        <v>28.013999999999999</v>
      </c>
      <c r="V30" s="321">
        <f>ROUND(IF($P30="Y",((VLOOKUP($Q30,Rates2020,6,0)+LIUNA2021)*PercIncr2021)-LIUNA2021,VLOOKUP($Q30,Rates2020,6,0)),3)</f>
        <v>28.888999999999999</v>
      </c>
      <c r="W30" s="321"/>
      <c r="X30" s="321"/>
      <c r="Y30" s="321"/>
    </row>
    <row r="31" spans="1:25">
      <c r="A31" s="219" t="s">
        <v>321</v>
      </c>
      <c r="B31" s="162">
        <v>205</v>
      </c>
      <c r="C31" s="162">
        <v>4</v>
      </c>
      <c r="D31" s="162" t="s">
        <v>17</v>
      </c>
      <c r="E31" s="162" t="s">
        <v>18</v>
      </c>
      <c r="F31" s="219" t="s">
        <v>19</v>
      </c>
      <c r="G31" s="162" t="s">
        <v>96</v>
      </c>
      <c r="H31" s="223" t="s">
        <v>335</v>
      </c>
      <c r="I31" s="269">
        <f t="shared" si="1"/>
        <v>26.780999999999999</v>
      </c>
      <c r="J31" s="269">
        <f t="shared" si="1"/>
        <v>27.606000000000002</v>
      </c>
      <c r="K31" s="269">
        <f t="shared" si="1"/>
        <v>28.454999999999998</v>
      </c>
      <c r="L31" s="269">
        <f t="shared" si="1"/>
        <v>29.33</v>
      </c>
      <c r="M31" s="269"/>
      <c r="N31" s="269"/>
      <c r="O31" s="220"/>
      <c r="P31" s="312" t="s">
        <v>445</v>
      </c>
      <c r="Q31" s="286" t="str">
        <f t="shared" si="2"/>
        <v>06068C</v>
      </c>
      <c r="R31" s="309" t="str">
        <f t="shared" si="2"/>
        <v>Lead Pipe Layer III (Sewer Const.) Apprentice II (2nd 522 hours)</v>
      </c>
      <c r="S31" s="321">
        <f t="shared" si="0"/>
        <v>26.780999999999999</v>
      </c>
      <c r="T31" s="321">
        <f>ROUND(IF($P31="Y",((VLOOKUP($Q31,Rates2020,4,0)+LIUNA2021)*PercIncr2021)-LIUNA2021,VLOOKUP($Q31,Rates2020,4,0)),3)</f>
        <v>27.606000000000002</v>
      </c>
      <c r="U31" s="321">
        <f>ROUND(IF($P31="Y",((VLOOKUP($Q31,Rates2020,5,0)+LIUNA2021)*PercIncr2021)-LIUNA2021,VLOOKUP($Q31,Rates2020,5,0)),3)</f>
        <v>28.454999999999998</v>
      </c>
      <c r="V31" s="321">
        <f>ROUND(IF($P31="Y",((VLOOKUP($Q31,Rates2020,6,0)+LIUNA2021)*PercIncr2021)-LIUNA2021,VLOOKUP($Q31,Rates2020,6,0)),3)</f>
        <v>29.33</v>
      </c>
      <c r="W31" s="321"/>
      <c r="X31" s="321"/>
      <c r="Y31" s="321"/>
    </row>
    <row r="32" spans="1:25">
      <c r="A32" s="219" t="s">
        <v>330</v>
      </c>
      <c r="B32" s="162">
        <v>205</v>
      </c>
      <c r="C32" s="162">
        <v>4</v>
      </c>
      <c r="D32" s="162" t="s">
        <v>17</v>
      </c>
      <c r="E32" s="162" t="s">
        <v>18</v>
      </c>
      <c r="F32" s="219" t="s">
        <v>19</v>
      </c>
      <c r="G32" s="162" t="s">
        <v>99</v>
      </c>
      <c r="H32" s="223" t="s">
        <v>336</v>
      </c>
      <c r="I32" s="269">
        <f t="shared" si="1"/>
        <v>27.033000000000001</v>
      </c>
      <c r="J32" s="269">
        <f t="shared" si="1"/>
        <v>27.858000000000001</v>
      </c>
      <c r="K32" s="269">
        <f t="shared" si="1"/>
        <v>28.707000000000001</v>
      </c>
      <c r="L32" s="269">
        <f t="shared" si="1"/>
        <v>29.582000000000001</v>
      </c>
      <c r="M32" s="269"/>
      <c r="N32" s="269"/>
      <c r="O32" s="220"/>
      <c r="P32" s="312" t="s">
        <v>445</v>
      </c>
      <c r="Q32" s="286" t="str">
        <f t="shared" si="2"/>
        <v>06069C</v>
      </c>
      <c r="R32" s="309" t="str">
        <f t="shared" si="2"/>
        <v>Lead Pipe Layer III (Sewer Const.) Apprentice III (3rd 522 hours)</v>
      </c>
      <c r="S32" s="321">
        <f t="shared" si="0"/>
        <v>27.033000000000001</v>
      </c>
      <c r="T32" s="321">
        <f>ROUND(IF($P32="Y",((VLOOKUP($Q32,Rates2020,4,0)+LIUNA2021)*PercIncr2021)-LIUNA2021,VLOOKUP($Q32,Rates2020,4,0)),3)</f>
        <v>27.858000000000001</v>
      </c>
      <c r="U32" s="321">
        <f>ROUND(IF($P32="Y",((VLOOKUP($Q32,Rates2020,5,0)+LIUNA2021)*PercIncr2021)-LIUNA2021,VLOOKUP($Q32,Rates2020,5,0)),3)</f>
        <v>28.707000000000001</v>
      </c>
      <c r="V32" s="321">
        <f>ROUND(IF($P32="Y",((VLOOKUP($Q32,Rates2020,6,0)+LIUNA2021)*PercIncr2021)-LIUNA2021,VLOOKUP($Q32,Rates2020,6,0)),3)</f>
        <v>29.582000000000001</v>
      </c>
      <c r="W32" s="321"/>
      <c r="X32" s="321"/>
      <c r="Y32" s="321"/>
    </row>
    <row r="33" spans="1:26">
      <c r="A33" s="219" t="s">
        <v>332</v>
      </c>
      <c r="B33" s="162">
        <v>273</v>
      </c>
      <c r="C33" s="162">
        <v>6</v>
      </c>
      <c r="D33" s="162" t="s">
        <v>17</v>
      </c>
      <c r="E33" s="162" t="s">
        <v>18</v>
      </c>
      <c r="F33" s="219">
        <v>19</v>
      </c>
      <c r="G33" s="162" t="s">
        <v>101</v>
      </c>
      <c r="H33" s="211" t="s">
        <v>102</v>
      </c>
      <c r="I33" s="269">
        <f t="shared" si="1"/>
        <v>30.783999999999999</v>
      </c>
      <c r="J33" s="269"/>
      <c r="K33" s="269"/>
      <c r="L33" s="269"/>
      <c r="M33" s="269"/>
      <c r="N33" s="269"/>
      <c r="O33" s="220"/>
      <c r="P33" s="312" t="s">
        <v>445</v>
      </c>
      <c r="Q33" s="286" t="str">
        <f t="shared" si="2"/>
        <v>06462C</v>
      </c>
      <c r="R33" s="309" t="str">
        <f t="shared" si="2"/>
        <v>Maintenance Crew Ldr - Bridge</v>
      </c>
      <c r="S33" s="321">
        <f t="shared" si="0"/>
        <v>30.783999999999999</v>
      </c>
      <c r="T33" s="321"/>
      <c r="U33" s="321"/>
      <c r="V33" s="322"/>
      <c r="W33" s="321"/>
      <c r="X33" s="321"/>
      <c r="Y33" s="321"/>
    </row>
    <row r="34" spans="1:26">
      <c r="A34" s="219" t="s">
        <v>332</v>
      </c>
      <c r="B34" s="162">
        <v>273</v>
      </c>
      <c r="C34" s="162">
        <v>6</v>
      </c>
      <c r="D34" s="162" t="s">
        <v>17</v>
      </c>
      <c r="E34" s="162" t="s">
        <v>18</v>
      </c>
      <c r="F34" s="219" t="s">
        <v>88</v>
      </c>
      <c r="G34" s="162" t="s">
        <v>103</v>
      </c>
      <c r="H34" s="211" t="s">
        <v>104</v>
      </c>
      <c r="I34" s="269">
        <f t="shared" si="1"/>
        <v>30.783999999999999</v>
      </c>
      <c r="J34" s="269"/>
      <c r="K34" s="269"/>
      <c r="L34" s="269"/>
      <c r="M34" s="269"/>
      <c r="N34" s="269"/>
      <c r="O34" s="220"/>
      <c r="P34" s="312" t="s">
        <v>445</v>
      </c>
      <c r="Q34" s="286" t="str">
        <f t="shared" si="2"/>
        <v>06464C</v>
      </c>
      <c r="R34" s="309" t="str">
        <f t="shared" si="2"/>
        <v>Maintenance Crew Ldr - Sewer</v>
      </c>
      <c r="S34" s="321">
        <f t="shared" si="0"/>
        <v>30.783999999999999</v>
      </c>
      <c r="T34" s="321"/>
      <c r="U34" s="321"/>
      <c r="V34" s="322"/>
      <c r="W34" s="321"/>
      <c r="X34" s="321"/>
      <c r="Y34" s="321"/>
    </row>
    <row r="35" spans="1:26">
      <c r="A35" s="219" t="s">
        <v>332</v>
      </c>
      <c r="B35" s="162">
        <v>273</v>
      </c>
      <c r="C35" s="162">
        <v>6</v>
      </c>
      <c r="D35" s="162" t="s">
        <v>17</v>
      </c>
      <c r="E35" s="162" t="s">
        <v>18</v>
      </c>
      <c r="F35" s="219">
        <v>19</v>
      </c>
      <c r="G35" s="162" t="s">
        <v>105</v>
      </c>
      <c r="H35" s="211" t="s">
        <v>106</v>
      </c>
      <c r="I35" s="269">
        <f t="shared" si="1"/>
        <v>30.783999999999999</v>
      </c>
      <c r="J35" s="269"/>
      <c r="K35" s="269"/>
      <c r="L35" s="269"/>
      <c r="M35" s="269"/>
      <c r="N35" s="269"/>
      <c r="O35" s="220"/>
      <c r="P35" s="312" t="s">
        <v>445</v>
      </c>
      <c r="Q35" s="286" t="str">
        <f t="shared" si="2"/>
        <v>06465C</v>
      </c>
      <c r="R35" s="309" t="str">
        <f t="shared" si="2"/>
        <v>Maintenance Crew Ldr - Sol Waste</v>
      </c>
      <c r="S35" s="321">
        <f t="shared" si="0"/>
        <v>30.783999999999999</v>
      </c>
      <c r="T35" s="321"/>
      <c r="U35" s="321"/>
      <c r="V35" s="322"/>
      <c r="W35" s="321"/>
      <c r="X35" s="321"/>
      <c r="Y35" s="321"/>
    </row>
    <row r="36" spans="1:26">
      <c r="A36" s="219" t="s">
        <v>332</v>
      </c>
      <c r="B36" s="162">
        <v>273</v>
      </c>
      <c r="C36" s="162">
        <v>6</v>
      </c>
      <c r="D36" s="162" t="s">
        <v>17</v>
      </c>
      <c r="E36" s="162" t="s">
        <v>18</v>
      </c>
      <c r="F36" s="219">
        <v>19</v>
      </c>
      <c r="G36" s="162" t="s">
        <v>107</v>
      </c>
      <c r="H36" s="211" t="s">
        <v>108</v>
      </c>
      <c r="I36" s="269">
        <f t="shared" si="1"/>
        <v>30.783999999999999</v>
      </c>
      <c r="J36" s="269"/>
      <c r="K36" s="269"/>
      <c r="L36" s="269"/>
      <c r="M36" s="269"/>
      <c r="N36" s="269"/>
      <c r="O36" s="220"/>
      <c r="P36" s="312" t="s">
        <v>445</v>
      </c>
      <c r="Q36" s="286" t="str">
        <f t="shared" si="2"/>
        <v>06466C</v>
      </c>
      <c r="R36" s="309" t="str">
        <f t="shared" si="2"/>
        <v>Maintenance Crew Ldr - Streets</v>
      </c>
      <c r="S36" s="321">
        <f t="shared" si="0"/>
        <v>30.783999999999999</v>
      </c>
      <c r="T36" s="321"/>
      <c r="U36" s="321"/>
      <c r="V36" s="322"/>
      <c r="W36" s="321"/>
      <c r="X36" s="321"/>
      <c r="Y36" s="321"/>
    </row>
    <row r="37" spans="1:26">
      <c r="A37" s="219" t="s">
        <v>332</v>
      </c>
      <c r="B37" s="162">
        <v>273</v>
      </c>
      <c r="C37" s="162">
        <v>6</v>
      </c>
      <c r="D37" s="162" t="s">
        <v>17</v>
      </c>
      <c r="E37" s="162" t="s">
        <v>18</v>
      </c>
      <c r="F37" s="219">
        <v>19</v>
      </c>
      <c r="G37" s="162" t="s">
        <v>109</v>
      </c>
      <c r="H37" s="211" t="s">
        <v>110</v>
      </c>
      <c r="I37" s="269">
        <f t="shared" si="1"/>
        <v>30.783999999999999</v>
      </c>
      <c r="J37" s="269"/>
      <c r="K37" s="269"/>
      <c r="L37" s="269"/>
      <c r="M37" s="269"/>
      <c r="N37" s="269"/>
      <c r="O37" s="220"/>
      <c r="P37" s="312" t="s">
        <v>445</v>
      </c>
      <c r="Q37" s="286" t="str">
        <f t="shared" si="2"/>
        <v>06468C</v>
      </c>
      <c r="R37" s="309" t="str">
        <f t="shared" si="2"/>
        <v>Maintenance Crew Ldr - Traffic</v>
      </c>
      <c r="S37" s="321">
        <f t="shared" si="0"/>
        <v>30.783999999999999</v>
      </c>
      <c r="T37" s="321"/>
      <c r="U37" s="321"/>
      <c r="V37" s="322"/>
      <c r="W37" s="321"/>
      <c r="X37" s="321"/>
      <c r="Y37" s="321"/>
    </row>
    <row r="38" spans="1:26">
      <c r="A38" s="219" t="s">
        <v>111</v>
      </c>
      <c r="B38" s="162">
        <v>238</v>
      </c>
      <c r="C38" s="162">
        <v>5</v>
      </c>
      <c r="D38" s="162" t="s">
        <v>17</v>
      </c>
      <c r="E38" s="162" t="s">
        <v>18</v>
      </c>
      <c r="F38" s="219" t="s">
        <v>111</v>
      </c>
      <c r="G38" s="162" t="s">
        <v>112</v>
      </c>
      <c r="H38" s="211" t="s">
        <v>113</v>
      </c>
      <c r="I38" s="269">
        <f t="shared" si="1"/>
        <v>28.7</v>
      </c>
      <c r="J38" s="269"/>
      <c r="K38" s="269"/>
      <c r="L38" s="269"/>
      <c r="M38" s="269"/>
      <c r="N38" s="269"/>
      <c r="O38" s="220"/>
      <c r="P38" s="312" t="s">
        <v>445</v>
      </c>
      <c r="Q38" s="286" t="str">
        <f t="shared" si="2"/>
        <v>07440C</v>
      </c>
      <c r="R38" s="309" t="str">
        <f t="shared" si="2"/>
        <v>Parking Meter Service Worker</v>
      </c>
      <c r="S38" s="321">
        <f t="shared" si="0"/>
        <v>28.7</v>
      </c>
      <c r="T38" s="321"/>
      <c r="U38" s="321"/>
      <c r="V38" s="322"/>
      <c r="W38" s="321"/>
      <c r="X38" s="321"/>
      <c r="Y38" s="321"/>
    </row>
    <row r="39" spans="1:26">
      <c r="A39" s="219" t="s">
        <v>114</v>
      </c>
      <c r="B39" s="162">
        <v>215</v>
      </c>
      <c r="C39" s="162">
        <v>4</v>
      </c>
      <c r="D39" s="162" t="s">
        <v>17</v>
      </c>
      <c r="E39" s="162" t="s">
        <v>18</v>
      </c>
      <c r="F39" s="219" t="s">
        <v>114</v>
      </c>
      <c r="G39" s="162" t="s">
        <v>115</v>
      </c>
      <c r="H39" s="211" t="s">
        <v>116</v>
      </c>
      <c r="I39" s="269">
        <f t="shared" si="1"/>
        <v>26.821999999999999</v>
      </c>
      <c r="J39" s="269"/>
      <c r="K39" s="269"/>
      <c r="L39" s="269"/>
      <c r="M39" s="269"/>
      <c r="N39" s="269"/>
      <c r="O39" s="220"/>
      <c r="P39" s="312" t="s">
        <v>445</v>
      </c>
      <c r="Q39" s="286" t="str">
        <f t="shared" si="2"/>
        <v>07940C</v>
      </c>
      <c r="R39" s="309" t="str">
        <f t="shared" si="2"/>
        <v>Plant Service Worker</v>
      </c>
      <c r="S39" s="321">
        <f t="shared" si="0"/>
        <v>26.821999999999999</v>
      </c>
      <c r="T39" s="321"/>
      <c r="U39" s="321"/>
      <c r="V39" s="322"/>
      <c r="W39" s="321"/>
      <c r="X39" s="321"/>
      <c r="Y39" s="321"/>
    </row>
    <row r="40" spans="1:26">
      <c r="A40" s="219" t="s">
        <v>118</v>
      </c>
      <c r="B40" s="162">
        <v>335</v>
      </c>
      <c r="C40" s="162">
        <v>7</v>
      </c>
      <c r="D40" s="162" t="s">
        <v>17</v>
      </c>
      <c r="E40" s="162" t="s">
        <v>18</v>
      </c>
      <c r="F40" s="219" t="s">
        <v>117</v>
      </c>
      <c r="G40" s="162" t="s">
        <v>119</v>
      </c>
      <c r="H40" s="211" t="s">
        <v>120</v>
      </c>
      <c r="I40" s="269">
        <f t="shared" si="1"/>
        <v>27.004999999999999</v>
      </c>
      <c r="J40" s="269">
        <f t="shared" si="1"/>
        <v>28.393000000000001</v>
      </c>
      <c r="K40" s="269">
        <f t="shared" si="1"/>
        <v>29.782</v>
      </c>
      <c r="L40" s="269">
        <f t="shared" si="1"/>
        <v>31.166</v>
      </c>
      <c r="M40" s="269">
        <f t="shared" si="1"/>
        <v>32.555</v>
      </c>
      <c r="N40" s="269">
        <f t="shared" si="1"/>
        <v>33.947000000000003</v>
      </c>
      <c r="O40" s="220"/>
      <c r="P40" s="312" t="s">
        <v>445</v>
      </c>
      <c r="Q40" s="286" t="str">
        <f t="shared" si="2"/>
        <v>02621C</v>
      </c>
      <c r="R40" s="309" t="str">
        <f t="shared" si="2"/>
        <v>Pubic Works Equipment Dispatcher</v>
      </c>
      <c r="S40" s="321">
        <f t="shared" si="0"/>
        <v>27.004999999999999</v>
      </c>
      <c r="T40" s="321">
        <f>ROUND(IF($P40="Y",((VLOOKUP($Q40,Rates2020,4,0)+LIUNA2021)*PercIncr2021)-LIUNA2021,VLOOKUP($Q40,Rates2020,4,0)),3)</f>
        <v>28.393000000000001</v>
      </c>
      <c r="U40" s="321">
        <f>ROUND(IF($P40="Y",((VLOOKUP($Q40,Rates2020,5,0)+LIUNA2021)*PercIncr2021)-LIUNA2021,VLOOKUP($Q40,Rates2020,5,0)),3)</f>
        <v>29.782</v>
      </c>
      <c r="V40" s="321">
        <f>ROUND(IF($P40="Y",((VLOOKUP($Q40,Rates2020,6,0)+LIUNA2021)*PercIncr2021)-LIUNA2021,VLOOKUP($Q40,Rates2020,6,0)),3)</f>
        <v>31.166</v>
      </c>
      <c r="W40" s="321">
        <f>ROUND(IF($P40="Y",((VLOOKUP($Q40,Rates2020,7,0)+LIUNA2021)*PercIncr2021)-LIUNA2021,VLOOKUP($Q40,Rates2020,7,0)),3)</f>
        <v>32.555</v>
      </c>
      <c r="X40" s="321">
        <f>ROUND(IF($P40="Y",((VLOOKUP($Q40,Rates2020,8,0)+LIUNA2021)*PercIncr2021)-LIUNA2021,VLOOKUP($Q40,Rates2020,8,0)),3)</f>
        <v>33.947000000000003</v>
      </c>
      <c r="Y40" s="321"/>
    </row>
    <row r="41" spans="1:26">
      <c r="A41" s="219" t="s">
        <v>19</v>
      </c>
      <c r="B41" s="162">
        <v>230</v>
      </c>
      <c r="C41" s="162">
        <v>5</v>
      </c>
      <c r="D41" s="162" t="s">
        <v>17</v>
      </c>
      <c r="E41" s="162" t="s">
        <v>18</v>
      </c>
      <c r="F41" s="219" t="s">
        <v>19</v>
      </c>
      <c r="G41" s="162" t="s">
        <v>121</v>
      </c>
      <c r="H41" s="223" t="s">
        <v>122</v>
      </c>
      <c r="I41" s="269">
        <f t="shared" si="1"/>
        <v>26.151</v>
      </c>
      <c r="J41" s="269">
        <f t="shared" si="1"/>
        <v>26.975000000000001</v>
      </c>
      <c r="K41" s="269">
        <f t="shared" si="1"/>
        <v>27.824999999999999</v>
      </c>
      <c r="L41" s="269">
        <f t="shared" si="1"/>
        <v>28.7</v>
      </c>
      <c r="M41" s="269"/>
      <c r="N41" s="269"/>
      <c r="O41" s="220"/>
      <c r="P41" s="312" t="s">
        <v>445</v>
      </c>
      <c r="Q41" s="286" t="str">
        <f t="shared" si="2"/>
        <v>08568C</v>
      </c>
      <c r="R41" s="309" t="str">
        <f t="shared" si="2"/>
        <v xml:space="preserve">Public Works Service Worker I </v>
      </c>
      <c r="S41" s="321">
        <f t="shared" si="0"/>
        <v>26.151</v>
      </c>
      <c r="T41" s="321">
        <f>ROUND(IF($P41="Y",((VLOOKUP($Q41,Rates2020,4,0)+LIUNA2021)*PercIncr2021)-LIUNA2021,VLOOKUP($Q41,Rates2020,4,0)),3)</f>
        <v>26.975000000000001</v>
      </c>
      <c r="U41" s="321">
        <f>ROUND(IF($P41="Y",((VLOOKUP($Q41,Rates2020,5,0)+LIUNA2021)*PercIncr2021)-LIUNA2021,VLOOKUP($Q41,Rates2020,5,0)),3)</f>
        <v>27.824999999999999</v>
      </c>
      <c r="V41" s="321">
        <f>ROUND(IF($P41="Y",((VLOOKUP($Q41,Rates2020,6,0)+LIUNA2021)*PercIncr2021)-LIUNA2021,VLOOKUP($Q41,Rates2020,6,0)),3)</f>
        <v>28.7</v>
      </c>
      <c r="W41" s="321"/>
      <c r="X41" s="321"/>
      <c r="Y41" s="321"/>
    </row>
    <row r="42" spans="1:26">
      <c r="A42" s="219" t="s">
        <v>124</v>
      </c>
      <c r="B42" s="162">
        <v>230</v>
      </c>
      <c r="C42" s="162">
        <v>5</v>
      </c>
      <c r="D42" s="162" t="s">
        <v>17</v>
      </c>
      <c r="E42" s="162" t="s">
        <v>18</v>
      </c>
      <c r="F42" s="219" t="s">
        <v>124</v>
      </c>
      <c r="G42" s="162" t="s">
        <v>126</v>
      </c>
      <c r="H42" s="223" t="s">
        <v>127</v>
      </c>
      <c r="I42" s="221" t="str">
        <f>"6 months = "&amp;TEXT(S42,"$0.000")</f>
        <v>6 months = $17.053</v>
      </c>
      <c r="J42" s="228"/>
      <c r="K42" s="221" t="str">
        <f>"After 6 months AND holds a CDL = "&amp;TEXT(T42,"$0.000")</f>
        <v>After 6 months AND holds a CDL = $18.269</v>
      </c>
      <c r="L42" s="208"/>
      <c r="O42" s="220"/>
      <c r="P42" s="312" t="s">
        <v>445</v>
      </c>
      <c r="Q42" s="286" t="str">
        <f t="shared" si="2"/>
        <v>08564C</v>
      </c>
      <c r="R42" s="309" t="str">
        <f t="shared" si="2"/>
        <v xml:space="preserve">Public Works Service Worker I - Trainee </v>
      </c>
      <c r="S42" s="341">
        <f>ROUND(IF($P42="Y",((VLOOKUP($Q42,Rates2020,3,0))*PercIncr2021),VLOOKUP($Q42,Rates2020,3,0)),3)</f>
        <v>17.053000000000001</v>
      </c>
      <c r="T42" s="341">
        <f>ROUND(IF($P42="Y",((VLOOKUP($Q42,Rates2020,4,0))*PercIncr2021),VLOOKUP($Q42,Rates2020,4,0)),3)</f>
        <v>18.268999999999998</v>
      </c>
      <c r="U42" s="321"/>
      <c r="V42" s="322"/>
      <c r="W42" s="341" t="s">
        <v>446</v>
      </c>
      <c r="X42" s="321"/>
      <c r="Y42" s="321"/>
    </row>
    <row r="43" spans="1:26">
      <c r="A43" s="219" t="s">
        <v>130</v>
      </c>
      <c r="B43" s="162">
        <v>318</v>
      </c>
      <c r="C43" s="162">
        <v>7</v>
      </c>
      <c r="D43" s="162" t="s">
        <v>17</v>
      </c>
      <c r="E43" s="162" t="s">
        <v>18</v>
      </c>
      <c r="F43" s="219" t="s">
        <v>130</v>
      </c>
      <c r="G43" s="229" t="s">
        <v>131</v>
      </c>
      <c r="H43" s="223" t="s">
        <v>382</v>
      </c>
      <c r="I43" s="269">
        <f t="shared" si="1"/>
        <v>34.103000000000002</v>
      </c>
      <c r="J43" s="269">
        <f t="shared" si="1"/>
        <v>35.027999999999999</v>
      </c>
      <c r="K43" s="269">
        <f t="shared" si="1"/>
        <v>36.134</v>
      </c>
      <c r="L43" s="269"/>
      <c r="M43" s="269"/>
      <c r="N43" s="269"/>
      <c r="O43" s="269"/>
      <c r="P43" s="312" t="s">
        <v>445</v>
      </c>
      <c r="Q43" s="286" t="str">
        <f t="shared" si="2"/>
        <v>09194C</v>
      </c>
      <c r="R43" s="309" t="str">
        <f t="shared" si="2"/>
        <v xml:space="preserve">Senior Water Treatment Operator </v>
      </c>
      <c r="S43" s="321">
        <f t="shared" ref="S43:S48" si="3">ROUND(IF($P43="Y",((VLOOKUP($Q43,Rates2020,3,0)+LIUNA2021)*PercIncr2021)-LIUNA2021,VLOOKUP($Q43,Rates2020,3,0)),3)</f>
        <v>34.103000000000002</v>
      </c>
      <c r="T43" s="321">
        <f>ROUND(IF($P43="Y",((VLOOKUP($Q43,Rates2020,4,0)+LIUNA2021)*PercIncr2021)-LIUNA2021,VLOOKUP($Q43,Rates2020,4,0)),3)</f>
        <v>35.027999999999999</v>
      </c>
      <c r="U43" s="321">
        <f>ROUND(IF($P43="Y",((VLOOKUP($Q43,Rates2020,5,0)+LIUNA2021)*PercIncr2021)-LIUNA2021,VLOOKUP($Q43,Rates2020,5,0)),3)</f>
        <v>36.134</v>
      </c>
      <c r="V43" s="322"/>
      <c r="W43" s="321"/>
      <c r="X43" s="321"/>
      <c r="Y43" s="321"/>
    </row>
    <row r="44" spans="1:26">
      <c r="A44" s="219" t="s">
        <v>133</v>
      </c>
      <c r="B44" s="162">
        <v>310</v>
      </c>
      <c r="C44" s="162">
        <v>6</v>
      </c>
      <c r="D44" s="162" t="s">
        <v>17</v>
      </c>
      <c r="E44" s="162" t="s">
        <v>18</v>
      </c>
      <c r="F44" s="219" t="s">
        <v>133</v>
      </c>
      <c r="G44" s="162" t="s">
        <v>134</v>
      </c>
      <c r="H44" s="211" t="s">
        <v>135</v>
      </c>
      <c r="I44" s="269">
        <f t="shared" si="1"/>
        <v>26.916</v>
      </c>
      <c r="J44" s="269">
        <f t="shared" si="1"/>
        <v>28.242000000000001</v>
      </c>
      <c r="K44" s="269">
        <f t="shared" si="1"/>
        <v>29.545999999999999</v>
      </c>
      <c r="L44" s="269">
        <f t="shared" si="1"/>
        <v>30.946999999999999</v>
      </c>
      <c r="M44" s="269"/>
      <c r="N44" s="269"/>
      <c r="O44" s="269"/>
      <c r="P44" s="312" t="s">
        <v>445</v>
      </c>
      <c r="Q44" s="286" t="str">
        <f t="shared" si="2"/>
        <v>09184C</v>
      </c>
      <c r="R44" s="309" t="str">
        <f t="shared" si="2"/>
        <v>Sewer Pumping Station Operator</v>
      </c>
      <c r="S44" s="321">
        <f t="shared" si="3"/>
        <v>26.916</v>
      </c>
      <c r="T44" s="321">
        <f>ROUND(IF($P44="Y",((VLOOKUP($Q44,Rates2020,4,0)+LIUNA2021)*PercIncr2021)-LIUNA2021,VLOOKUP($Q44,Rates2020,4,0)),3)</f>
        <v>28.242000000000001</v>
      </c>
      <c r="U44" s="321">
        <f>ROUND(IF($P44="Y",((VLOOKUP($Q44,Rates2020,5,0)+LIUNA2021)*PercIncr2021)-LIUNA2021,VLOOKUP($Q44,Rates2020,5,0)),3)</f>
        <v>29.545999999999999</v>
      </c>
      <c r="V44" s="321">
        <f>ROUND(IF($P44="Y",((VLOOKUP($Q44,Rates2020,6,0)+LIUNA2021)*PercIncr2021)-LIUNA2021,VLOOKUP($Q44,Rates2020,6,0)),3)</f>
        <v>30.946999999999999</v>
      </c>
      <c r="W44" s="321"/>
      <c r="X44" s="321"/>
      <c r="Y44" s="321"/>
    </row>
    <row r="45" spans="1:26">
      <c r="A45" s="219" t="s">
        <v>111</v>
      </c>
      <c r="B45" s="162">
        <v>258</v>
      </c>
      <c r="C45" s="162">
        <v>5</v>
      </c>
      <c r="D45" s="162" t="s">
        <v>17</v>
      </c>
      <c r="E45" s="162" t="s">
        <v>18</v>
      </c>
      <c r="F45" s="219">
        <v>16</v>
      </c>
      <c r="G45" s="162" t="s">
        <v>136</v>
      </c>
      <c r="H45" s="211" t="s">
        <v>137</v>
      </c>
      <c r="I45" s="269">
        <f t="shared" si="1"/>
        <v>28.7</v>
      </c>
      <c r="J45" s="269"/>
      <c r="K45" s="269"/>
      <c r="L45" s="269"/>
      <c r="M45" s="269"/>
      <c r="N45" s="269"/>
      <c r="O45" s="269"/>
      <c r="P45" s="312" t="s">
        <v>445</v>
      </c>
      <c r="Q45" s="286" t="str">
        <f t="shared" si="2"/>
        <v>09220C</v>
      </c>
      <c r="R45" s="309" t="str">
        <f t="shared" si="2"/>
        <v>Shop Repair Worker I</v>
      </c>
      <c r="S45" s="321">
        <f t="shared" si="3"/>
        <v>28.7</v>
      </c>
      <c r="T45" s="321"/>
      <c r="U45" s="321"/>
      <c r="V45" s="322"/>
      <c r="W45" s="321"/>
      <c r="X45" s="321"/>
      <c r="Y45" s="321"/>
    </row>
    <row r="46" spans="1:26">
      <c r="A46" s="219" t="s">
        <v>308</v>
      </c>
      <c r="B46" s="162">
        <v>295</v>
      </c>
      <c r="C46" s="162">
        <v>6</v>
      </c>
      <c r="D46" s="162" t="s">
        <v>17</v>
      </c>
      <c r="E46" s="162" t="s">
        <v>18</v>
      </c>
      <c r="F46" s="219">
        <v>17</v>
      </c>
      <c r="G46" s="162" t="s">
        <v>138</v>
      </c>
      <c r="H46" s="211" t="s">
        <v>139</v>
      </c>
      <c r="I46" s="269">
        <f t="shared" si="1"/>
        <v>30.443999999999999</v>
      </c>
      <c r="J46" s="269">
        <f t="shared" si="1"/>
        <v>31.236000000000001</v>
      </c>
      <c r="K46" s="269">
        <f t="shared" si="1"/>
        <v>32.027000000000001</v>
      </c>
      <c r="L46" s="269"/>
      <c r="M46" s="269"/>
      <c r="N46" s="269"/>
      <c r="O46" s="269"/>
      <c r="P46" s="313" t="s">
        <v>445</v>
      </c>
      <c r="Q46" s="286" t="str">
        <f t="shared" si="2"/>
        <v>09230C</v>
      </c>
      <c r="R46" s="309" t="str">
        <f t="shared" si="2"/>
        <v>Shop Repair Worker II</v>
      </c>
      <c r="S46" s="321">
        <f t="shared" si="3"/>
        <v>30.443999999999999</v>
      </c>
      <c r="T46" s="321">
        <f>ROUND(IF($P46="Y",((VLOOKUP($Q46,Rates2020,4,0)+LIUNA2021)*PercIncr2021)-LIUNA2021,VLOOKUP($Q46,Rates2020,4,0)),3)</f>
        <v>31.236000000000001</v>
      </c>
      <c r="U46" s="321">
        <f>ROUND(IF($P46="Y",((VLOOKUP($Q46,Rates2020,5,0)+LIUNA2021)*PercIncr2021)-LIUNA2021,VLOOKUP($Q46,Rates2020,5,0)),3)</f>
        <v>32.027000000000001</v>
      </c>
      <c r="V46" s="321"/>
      <c r="W46" s="321"/>
      <c r="X46" s="321"/>
      <c r="Y46" s="321"/>
    </row>
    <row r="47" spans="1:26">
      <c r="A47" s="219">
        <v>8</v>
      </c>
      <c r="B47" s="162">
        <v>260</v>
      </c>
      <c r="C47" s="162">
        <v>5</v>
      </c>
      <c r="D47" s="162" t="s">
        <v>17</v>
      </c>
      <c r="E47" s="162" t="s">
        <v>18</v>
      </c>
      <c r="F47" s="219">
        <v>8</v>
      </c>
      <c r="G47" s="162" t="s">
        <v>140</v>
      </c>
      <c r="H47" s="211" t="s">
        <v>141</v>
      </c>
      <c r="I47" s="269">
        <f t="shared" si="1"/>
        <v>20.399000000000001</v>
      </c>
      <c r="J47" s="269">
        <f t="shared" si="1"/>
        <v>21.643000000000001</v>
      </c>
      <c r="K47" s="269">
        <f t="shared" si="1"/>
        <v>23.789000000000001</v>
      </c>
      <c r="L47" s="269">
        <f t="shared" si="1"/>
        <v>24.716000000000001</v>
      </c>
      <c r="M47" s="269">
        <f t="shared" si="1"/>
        <v>26.582999999999998</v>
      </c>
      <c r="N47" s="269">
        <f t="shared" si="1"/>
        <v>27.696000000000002</v>
      </c>
      <c r="O47" s="269">
        <f t="shared" si="1"/>
        <v>28.7</v>
      </c>
      <c r="P47" s="312" t="s">
        <v>445</v>
      </c>
      <c r="Q47" s="286" t="str">
        <f t="shared" si="2"/>
        <v>09400C</v>
      </c>
      <c r="R47" s="309" t="str">
        <f t="shared" si="2"/>
        <v>Stock Worker</v>
      </c>
      <c r="S47" s="321">
        <f t="shared" si="3"/>
        <v>20.399000000000001</v>
      </c>
      <c r="T47" s="321">
        <f>ROUND(IF($P47="Y",((VLOOKUP($Q47,Rates2020,4,0)+LIUNA2021)*PercIncr2021)-LIUNA2021,VLOOKUP($Q47,Rates2020,4,0)),3)</f>
        <v>21.643000000000001</v>
      </c>
      <c r="U47" s="321">
        <f>ROUND(IF($P47="Y",((VLOOKUP($Q47,Rates2020,5,0)+LIUNA2021)*PercIncr2021)-LIUNA2021,VLOOKUP($Q47,Rates2020,5,0)),3)</f>
        <v>23.789000000000001</v>
      </c>
      <c r="V47" s="321">
        <f>ROUND(IF($P47="Y",((VLOOKUP($Q47,Rates2020,6,0)+LIUNA2021)*PercIncr2021)-LIUNA2021,VLOOKUP($Q47,Rates2020,6,0)),3)</f>
        <v>24.716000000000001</v>
      </c>
      <c r="W47" s="321">
        <f>ROUND(IF($P47="Y",((VLOOKUP($Q47,Rates2020,7,0)+LIUNA2021)*PercIncr2021)-LIUNA2021,VLOOKUP($Q47,Rates2020,7,0)),3)</f>
        <v>26.582999999999998</v>
      </c>
      <c r="X47" s="321">
        <f>ROUND(IF($P47="Y",((VLOOKUP($Q47,Rates2020,8,0)+LIUNA2021)*PercIncr2021)-LIUNA2021,VLOOKUP($Q47,Rates2020,8,0)),3)</f>
        <v>27.696000000000002</v>
      </c>
      <c r="Y47" s="321">
        <f>ROUND(IF($P47="Y",((VLOOKUP($Q47,Rates2020,9,0)+LIUNA2021)*PercIncr2021)-LIUNA2021,VLOOKUP($Q47,Rates2020,9,0)),3)</f>
        <v>28.7</v>
      </c>
      <c r="Z47" s="230"/>
    </row>
    <row r="48" spans="1:26">
      <c r="A48" s="219" t="s">
        <v>118</v>
      </c>
      <c r="B48" s="162">
        <v>333</v>
      </c>
      <c r="C48" s="162">
        <v>7</v>
      </c>
      <c r="D48" s="162" t="s">
        <v>17</v>
      </c>
      <c r="E48" s="162" t="s">
        <v>18</v>
      </c>
      <c r="F48" s="219" t="s">
        <v>117</v>
      </c>
      <c r="G48" s="162" t="s">
        <v>142</v>
      </c>
      <c r="H48" s="211" t="s">
        <v>143</v>
      </c>
      <c r="I48" s="269">
        <f t="shared" si="1"/>
        <v>27.004999999999999</v>
      </c>
      <c r="J48" s="269">
        <f t="shared" si="1"/>
        <v>28.393000000000001</v>
      </c>
      <c r="K48" s="269">
        <f t="shared" si="1"/>
        <v>29.782</v>
      </c>
      <c r="L48" s="269">
        <f t="shared" si="1"/>
        <v>31.166</v>
      </c>
      <c r="M48" s="269">
        <f t="shared" si="1"/>
        <v>32.555</v>
      </c>
      <c r="N48" s="269">
        <f t="shared" si="1"/>
        <v>33.947000000000003</v>
      </c>
      <c r="O48" s="269"/>
      <c r="P48" s="312" t="s">
        <v>445</v>
      </c>
      <c r="Q48" s="286" t="str">
        <f t="shared" si="2"/>
        <v>09284C</v>
      </c>
      <c r="R48" s="309" t="str">
        <f t="shared" si="2"/>
        <v xml:space="preserve">Stores Center Coordinator   </v>
      </c>
      <c r="S48" s="321">
        <f t="shared" si="3"/>
        <v>27.004999999999999</v>
      </c>
      <c r="T48" s="321">
        <f>ROUND(IF($P48="Y",((VLOOKUP($Q48,Rates2020,4,0)+LIUNA2021)*PercIncr2021)-LIUNA2021,VLOOKUP($Q48,Rates2020,4,0)),3)</f>
        <v>28.393000000000001</v>
      </c>
      <c r="U48" s="321">
        <f>ROUND(IF($P48="Y",((VLOOKUP($Q48,Rates2020,5,0)+LIUNA2021)*PercIncr2021)-LIUNA2021,VLOOKUP($Q48,Rates2020,5,0)),3)</f>
        <v>29.782</v>
      </c>
      <c r="V48" s="321">
        <f>ROUND(IF($P48="Y",((VLOOKUP($Q48,Rates2020,6,0)+LIUNA2021)*PercIncr2021)-LIUNA2021,VLOOKUP($Q48,Rates2020,6,0)),3)</f>
        <v>31.166</v>
      </c>
      <c r="W48" s="321">
        <f>ROUND(IF($P48="Y",((VLOOKUP($Q48,Rates2020,7,0)+LIUNA2021)*PercIncr2021)-LIUNA2021,VLOOKUP($Q48,Rates2020,7,0)),3)</f>
        <v>32.555</v>
      </c>
      <c r="X48" s="321">
        <f>ROUND(IF($P48="Y",((VLOOKUP($Q48,Rates2020,8,0)+LIUNA2021)*PercIncr2021)-LIUNA2021,VLOOKUP($Q48,Rates2020,8,0)),3)</f>
        <v>33.947000000000003</v>
      </c>
      <c r="Y48" s="321"/>
    </row>
    <row r="49" spans="1:25">
      <c r="A49" s="219" t="s">
        <v>383</v>
      </c>
      <c r="B49" s="162"/>
      <c r="C49" s="162"/>
      <c r="D49" s="162" t="s">
        <v>17</v>
      </c>
      <c r="E49" s="162" t="s">
        <v>18</v>
      </c>
      <c r="F49" s="219" t="s">
        <v>383</v>
      </c>
      <c r="G49" s="162" t="s">
        <v>384</v>
      </c>
      <c r="H49" s="211" t="s">
        <v>385</v>
      </c>
      <c r="I49" s="269">
        <v>36.271999999999998</v>
      </c>
      <c r="J49" s="269"/>
      <c r="K49" s="269"/>
      <c r="L49" s="269"/>
      <c r="M49" s="269"/>
      <c r="N49" s="269"/>
      <c r="O49" s="269"/>
      <c r="P49" s="312" t="s">
        <v>445</v>
      </c>
      <c r="Q49" s="286" t="str">
        <f t="shared" si="2"/>
        <v>52931C</v>
      </c>
      <c r="R49" s="309" t="str">
        <f t="shared" si="2"/>
        <v>Union Leader (Service Area Crew Leader)</v>
      </c>
      <c r="S49" s="339">
        <v>36.271999999999998</v>
      </c>
      <c r="T49" s="321"/>
      <c r="U49" s="321"/>
      <c r="V49" s="321"/>
      <c r="W49" s="321"/>
      <c r="X49" s="321"/>
      <c r="Y49" s="321"/>
    </row>
    <row r="50" spans="1:25">
      <c r="A50" s="219">
        <v>22</v>
      </c>
      <c r="B50" s="162">
        <v>265</v>
      </c>
      <c r="C50" s="162">
        <v>5</v>
      </c>
      <c r="D50" s="162" t="s">
        <v>17</v>
      </c>
      <c r="E50" s="162" t="s">
        <v>18</v>
      </c>
      <c r="F50" s="219">
        <v>22</v>
      </c>
      <c r="G50" s="162" t="s">
        <v>144</v>
      </c>
      <c r="H50" s="211" t="s">
        <v>145</v>
      </c>
      <c r="I50" s="269">
        <f t="shared" si="1"/>
        <v>30.827999999999999</v>
      </c>
      <c r="J50" s="269">
        <f t="shared" si="1"/>
        <v>31.445</v>
      </c>
      <c r="K50" s="269">
        <f t="shared" si="1"/>
        <v>32.061</v>
      </c>
      <c r="L50" s="269">
        <f t="shared" si="1"/>
        <v>32.677999999999997</v>
      </c>
      <c r="M50" s="269"/>
      <c r="N50" s="269"/>
      <c r="O50" s="269"/>
      <c r="P50" s="312" t="s">
        <v>445</v>
      </c>
      <c r="Q50" s="286" t="str">
        <f t="shared" si="2"/>
        <v>10908C</v>
      </c>
      <c r="R50" s="309" t="str">
        <f t="shared" si="2"/>
        <v>Water Treatment Operator* (see below for Step)</v>
      </c>
      <c r="S50" s="321">
        <f>ROUND(IF($P50="Y",((VLOOKUP($Q50,Rates2020,3,0)+LIUNA2021)*PercIncr2021)-LIUNA2021,VLOOKUP($Q50,Rates2020,3,0)),3)</f>
        <v>30.827999999999999</v>
      </c>
      <c r="T50" s="321">
        <f>ROUND(IF($P50="Y",((VLOOKUP($Q50,Rates2020,4,0)+LIUNA2021)*PercIncr2021)-LIUNA2021,VLOOKUP($Q50,Rates2020,4,0)),3)</f>
        <v>31.445</v>
      </c>
      <c r="U50" s="321">
        <f>ROUND(IF($P50="Y",((VLOOKUP($Q50,Rates2020,5,0)+LIUNA2021)*PercIncr2021)-LIUNA2021,VLOOKUP($Q50,Rates2020,5,0)),3)</f>
        <v>32.061</v>
      </c>
      <c r="V50" s="321">
        <f>ROUND(IF($P50="Y",((VLOOKUP($Q50,Rates2020,6,0)+LIUNA2021)*PercIncr2021)-LIUNA2021,VLOOKUP($Q50,Rates2020,6,0)),3)</f>
        <v>32.677999999999997</v>
      </c>
      <c r="W50" s="321"/>
      <c r="X50" s="321"/>
      <c r="Y50" s="321"/>
    </row>
    <row r="51" spans="1:25">
      <c r="A51" s="219" t="s">
        <v>65</v>
      </c>
      <c r="B51" s="162">
        <v>253</v>
      </c>
      <c r="C51" s="162">
        <v>5</v>
      </c>
      <c r="D51" s="162" t="s">
        <v>17</v>
      </c>
      <c r="E51" s="162" t="s">
        <v>18</v>
      </c>
      <c r="F51" s="219" t="s">
        <v>65</v>
      </c>
      <c r="G51" s="162" t="s">
        <v>146</v>
      </c>
      <c r="H51" s="211" t="s">
        <v>147</v>
      </c>
      <c r="I51" s="269">
        <f t="shared" ref="I51:L52" si="4">S51</f>
        <v>25.539000000000001</v>
      </c>
      <c r="J51" s="269">
        <f t="shared" si="4"/>
        <v>26.398</v>
      </c>
      <c r="K51" s="269">
        <f t="shared" si="4"/>
        <v>27.286999999999999</v>
      </c>
      <c r="L51" s="269">
        <f t="shared" si="4"/>
        <v>28.384</v>
      </c>
      <c r="M51" s="269"/>
      <c r="N51" s="269"/>
      <c r="O51" s="269"/>
      <c r="P51" s="312" t="s">
        <v>445</v>
      </c>
      <c r="Q51" s="286" t="str">
        <f t="shared" si="2"/>
        <v>11030C</v>
      </c>
      <c r="R51" s="309" t="str">
        <f t="shared" si="2"/>
        <v>Yard Coordinator I</v>
      </c>
      <c r="S51" s="321">
        <f>ROUND(IF($P51="Y",((VLOOKUP($Q51,Rates2020,3,0)+LIUNA2021)*PercIncr2021)-LIUNA2021,VLOOKUP($Q51,Rates2020,3,0)),3)</f>
        <v>25.539000000000001</v>
      </c>
      <c r="T51" s="321">
        <f>ROUND(IF($P51="Y",((VLOOKUP($Q51,Rates2020,4,0)+LIUNA2021)*PercIncr2021)-LIUNA2021,VLOOKUP($Q51,Rates2020,4,0)),3)</f>
        <v>26.398</v>
      </c>
      <c r="U51" s="321">
        <f>ROUND(IF($P51="Y",((VLOOKUP($Q51,Rates2020,5,0)+LIUNA2021)*PercIncr2021)-LIUNA2021,VLOOKUP($Q51,Rates2020,5,0)),3)</f>
        <v>27.286999999999999</v>
      </c>
      <c r="V51" s="321">
        <f>ROUND(IF($P51="Y",((VLOOKUP($Q51,Rates2020,6,0)+LIUNA2021)*PercIncr2021)-LIUNA2021,VLOOKUP($Q51,Rates2020,6,0)),3)</f>
        <v>28.384</v>
      </c>
      <c r="W51" s="321"/>
      <c r="X51" s="321"/>
      <c r="Y51" s="321"/>
    </row>
    <row r="52" spans="1:25">
      <c r="A52" s="219">
        <v>13</v>
      </c>
      <c r="B52" s="162">
        <v>275</v>
      </c>
      <c r="C52" s="162">
        <v>6</v>
      </c>
      <c r="D52" s="162" t="s">
        <v>17</v>
      </c>
      <c r="E52" s="162" t="s">
        <v>18</v>
      </c>
      <c r="F52" s="219">
        <v>13</v>
      </c>
      <c r="G52" s="162" t="s">
        <v>148</v>
      </c>
      <c r="H52" s="211" t="s">
        <v>149</v>
      </c>
      <c r="I52" s="269">
        <f t="shared" si="4"/>
        <v>26.916</v>
      </c>
      <c r="J52" s="269">
        <f t="shared" si="4"/>
        <v>28.242000000000001</v>
      </c>
      <c r="K52" s="269">
        <f t="shared" si="4"/>
        <v>29.545999999999999</v>
      </c>
      <c r="L52" s="269">
        <f t="shared" si="4"/>
        <v>30.946999999999999</v>
      </c>
      <c r="M52" s="269"/>
      <c r="N52" s="269"/>
      <c r="O52" s="269"/>
      <c r="P52" s="312" t="s">
        <v>445</v>
      </c>
      <c r="Q52" s="286" t="str">
        <f t="shared" si="2"/>
        <v>11040C</v>
      </c>
      <c r="R52" s="309" t="str">
        <f t="shared" si="2"/>
        <v>Yard Coordinator II</v>
      </c>
      <c r="S52" s="321">
        <f>ROUND(IF($P52="Y",((VLOOKUP($Q52,Rates2020,3,0)+LIUNA2021)*PercIncr2021)-LIUNA2021,VLOOKUP($Q52,Rates2020,3,0)),3)</f>
        <v>26.916</v>
      </c>
      <c r="T52" s="321">
        <f>ROUND(IF($P52="Y",((VLOOKUP($Q52,Rates2020,4,0)+LIUNA2021)*PercIncr2021)-LIUNA2021,VLOOKUP($Q52,Rates2020,4,0)),3)</f>
        <v>28.242000000000001</v>
      </c>
      <c r="U52" s="321">
        <f>ROUND(IF($P52="Y",((VLOOKUP($Q52,Rates2020,5,0)+LIUNA2021)*PercIncr2021)-LIUNA2021,VLOOKUP($Q52,Rates2020,5,0)),3)</f>
        <v>29.545999999999999</v>
      </c>
      <c r="V52" s="321">
        <f>ROUND(IF($P52="Y",((VLOOKUP($Q52,Rates2020,6,0)+LIUNA2021)*PercIncr2021)-LIUNA2021,VLOOKUP($Q52,Rates2020,6,0)),3)</f>
        <v>30.946999999999999</v>
      </c>
      <c r="W52" s="321"/>
      <c r="X52" s="321"/>
      <c r="Y52" s="321"/>
    </row>
    <row r="53" spans="1:25">
      <c r="A53" s="219"/>
      <c r="C53" s="162"/>
      <c r="D53" s="231" t="s">
        <v>386</v>
      </c>
      <c r="E53" s="208"/>
      <c r="F53" s="219"/>
      <c r="G53" s="219"/>
      <c r="I53" s="218"/>
      <c r="J53" s="220"/>
      <c r="K53" s="220"/>
      <c r="L53" s="220"/>
      <c r="Q53" s="286"/>
      <c r="R53" s="309"/>
      <c r="S53" s="321"/>
      <c r="T53" s="321"/>
      <c r="U53" s="321"/>
      <c r="V53" s="321"/>
      <c r="W53" s="321"/>
      <c r="X53" s="321"/>
      <c r="Y53" s="321"/>
    </row>
    <row r="54" spans="1:25">
      <c r="D54" s="165" t="str">
        <f>"NOTE that in addition to the above hourly wages, a LIUNA pension fund contribution of " &amp; TEXT(LIUNA2020,"$#.###")&amp;" per hour is contributed on behalf of eligible employees."</f>
        <v>NOTE that in addition to the above hourly wages, a LIUNA pension fund contribution of $1.74 per hour is contributed on behalf of eligible employees.</v>
      </c>
      <c r="E54" s="165"/>
      <c r="I54" s="233"/>
      <c r="J54" s="162"/>
      <c r="K54" s="162"/>
      <c r="L54" s="162"/>
      <c r="M54" s="162"/>
      <c r="N54" s="162"/>
      <c r="S54" s="321"/>
      <c r="T54" s="321"/>
      <c r="U54" s="321"/>
      <c r="V54" s="321"/>
      <c r="W54" s="321"/>
      <c r="X54" s="321"/>
      <c r="Y54" s="321"/>
    </row>
    <row r="55" spans="1:25">
      <c r="D55" s="165"/>
      <c r="E55" s="165"/>
      <c r="I55" s="233"/>
      <c r="J55" s="162"/>
      <c r="K55" s="162"/>
      <c r="L55" s="162"/>
      <c r="M55" s="162"/>
      <c r="N55" s="162"/>
      <c r="S55" s="321"/>
      <c r="T55" s="321"/>
      <c r="U55" s="321"/>
      <c r="V55" s="321"/>
      <c r="W55" s="321"/>
      <c r="X55" s="321"/>
      <c r="Y55" s="321"/>
    </row>
    <row r="56" spans="1:25">
      <c r="A56" s="268"/>
      <c r="D56" s="268"/>
      <c r="E56" s="268"/>
      <c r="F56" s="268"/>
      <c r="G56" s="268"/>
      <c r="H56" s="268"/>
      <c r="I56" s="268"/>
      <c r="J56" s="268"/>
      <c r="K56" s="268"/>
      <c r="L56" s="268"/>
      <c r="M56" s="268"/>
      <c r="N56" s="268"/>
      <c r="O56" s="268"/>
      <c r="S56" s="321"/>
      <c r="T56" s="321"/>
      <c r="U56" s="321"/>
      <c r="V56" s="321"/>
      <c r="W56" s="321"/>
      <c r="X56" s="321"/>
      <c r="Y56" s="321"/>
    </row>
    <row r="57" spans="1:25">
      <c r="A57" s="650"/>
      <c r="D57" s="650"/>
      <c r="E57" s="650"/>
      <c r="F57" s="650"/>
      <c r="G57" s="650"/>
      <c r="H57" s="650"/>
      <c r="I57" s="650"/>
      <c r="J57" s="650"/>
      <c r="K57" s="650"/>
      <c r="L57" s="650"/>
      <c r="M57" s="650"/>
      <c r="N57" s="650"/>
      <c r="O57" s="650"/>
      <c r="S57" s="321"/>
      <c r="T57" s="321"/>
      <c r="U57" s="321"/>
      <c r="V57" s="321"/>
      <c r="W57" s="321"/>
      <c r="X57" s="321"/>
      <c r="Y57" s="321"/>
    </row>
    <row r="58" spans="1:25">
      <c r="D58" s="234" t="s">
        <v>344</v>
      </c>
      <c r="E58" s="234"/>
      <c r="I58" s="233"/>
      <c r="J58" s="162"/>
      <c r="K58" s="162"/>
      <c r="L58" s="162"/>
      <c r="M58" s="162"/>
      <c r="N58" s="162"/>
      <c r="R58" s="310"/>
      <c r="S58" s="321"/>
      <c r="T58" s="321"/>
      <c r="U58" s="321"/>
      <c r="V58" s="321"/>
      <c r="W58" s="321"/>
      <c r="X58" s="321"/>
      <c r="Y58" s="321"/>
    </row>
    <row r="59" spans="1:25">
      <c r="D59" s="234"/>
      <c r="E59" s="234"/>
      <c r="G59" s="162" t="s">
        <v>154</v>
      </c>
      <c r="H59" s="211" t="s">
        <v>457</v>
      </c>
      <c r="I59" s="233"/>
      <c r="J59" s="162"/>
      <c r="K59" s="162"/>
      <c r="L59" s="162"/>
      <c r="M59" s="162"/>
      <c r="N59" s="162"/>
      <c r="R59" s="310"/>
      <c r="S59" s="321"/>
      <c r="T59" s="321"/>
      <c r="U59" s="321"/>
      <c r="V59" s="321"/>
      <c r="W59" s="321"/>
      <c r="X59" s="321"/>
      <c r="Y59" s="321"/>
    </row>
    <row r="60" spans="1:25">
      <c r="D60" s="234"/>
      <c r="E60" s="234"/>
      <c r="G60" s="162" t="s">
        <v>156</v>
      </c>
      <c r="H60" s="211" t="s">
        <v>458</v>
      </c>
      <c r="I60" s="233"/>
      <c r="J60" s="162"/>
      <c r="K60" s="162"/>
      <c r="L60" s="162"/>
      <c r="M60" s="162"/>
      <c r="N60" s="162"/>
      <c r="R60" s="310"/>
      <c r="S60" s="321"/>
      <c r="T60" s="321"/>
      <c r="U60" s="321"/>
      <c r="V60" s="321"/>
      <c r="W60" s="321"/>
      <c r="X60" s="321"/>
      <c r="Y60" s="321"/>
    </row>
    <row r="61" spans="1:25">
      <c r="D61" s="234"/>
      <c r="E61" s="234"/>
      <c r="G61" s="162" t="s">
        <v>158</v>
      </c>
      <c r="H61" s="211" t="s">
        <v>459</v>
      </c>
      <c r="I61" s="233"/>
      <c r="J61" s="162"/>
      <c r="K61" s="162"/>
      <c r="L61" s="162"/>
      <c r="M61" s="162"/>
      <c r="N61" s="162"/>
      <c r="R61" s="310"/>
      <c r="S61" s="321"/>
      <c r="T61" s="321"/>
      <c r="U61" s="321"/>
      <c r="V61" s="321"/>
      <c r="W61" s="321"/>
      <c r="X61" s="321"/>
      <c r="Y61" s="321"/>
    </row>
    <row r="62" spans="1:25">
      <c r="D62" s="165"/>
      <c r="E62" s="165"/>
      <c r="I62" s="233"/>
      <c r="J62" s="162"/>
      <c r="K62" s="162"/>
      <c r="L62" s="162"/>
      <c r="M62" s="162"/>
      <c r="N62" s="162"/>
      <c r="S62" s="321"/>
      <c r="T62" s="321"/>
      <c r="U62" s="321"/>
      <c r="V62" s="321"/>
      <c r="W62" s="321"/>
      <c r="X62" s="321"/>
      <c r="Y62" s="321"/>
    </row>
    <row r="63" spans="1:25">
      <c r="D63" s="234" t="s">
        <v>345</v>
      </c>
      <c r="E63" s="234"/>
      <c r="I63" s="233"/>
      <c r="J63" s="162"/>
      <c r="K63" s="162"/>
      <c r="L63" s="162"/>
      <c r="M63" s="162"/>
      <c r="N63" s="162"/>
      <c r="Q63" s="278"/>
      <c r="R63" s="310"/>
      <c r="S63" s="321"/>
      <c r="T63" s="321"/>
      <c r="U63" s="321"/>
      <c r="V63" s="321"/>
      <c r="W63" s="321"/>
      <c r="X63" s="321"/>
      <c r="Y63" s="321"/>
    </row>
    <row r="64" spans="1:25">
      <c r="D64" s="163"/>
      <c r="E64" s="163"/>
      <c r="F64" s="159" t="s">
        <v>163</v>
      </c>
      <c r="G64" s="162" t="s">
        <v>154</v>
      </c>
      <c r="H64" s="211" t="s">
        <v>164</v>
      </c>
      <c r="I64" s="208"/>
      <c r="J64" s="162"/>
      <c r="K64" s="162"/>
      <c r="L64" s="162"/>
      <c r="M64" s="162"/>
      <c r="N64" s="162"/>
      <c r="Q64" s="278"/>
      <c r="R64" s="310"/>
      <c r="S64" s="321"/>
      <c r="T64" s="321"/>
      <c r="U64" s="321"/>
      <c r="V64" s="321"/>
      <c r="W64" s="321"/>
      <c r="X64" s="321"/>
      <c r="Y64" s="321"/>
    </row>
    <row r="65" spans="1:30">
      <c r="D65" s="163"/>
      <c r="E65" s="163"/>
      <c r="F65" s="159" t="s">
        <v>165</v>
      </c>
      <c r="G65" s="162" t="s">
        <v>156</v>
      </c>
      <c r="H65" s="211" t="s">
        <v>166</v>
      </c>
      <c r="I65" s="208"/>
      <c r="J65" s="162"/>
      <c r="K65" s="162"/>
      <c r="L65" s="162"/>
      <c r="M65" s="162"/>
      <c r="N65" s="162"/>
      <c r="Q65" s="278"/>
      <c r="R65" s="310"/>
      <c r="S65" s="321"/>
      <c r="T65" s="321"/>
      <c r="U65" s="321"/>
      <c r="V65" s="321"/>
      <c r="W65" s="321"/>
      <c r="X65" s="321"/>
      <c r="Y65" s="321"/>
    </row>
    <row r="66" spans="1:30">
      <c r="D66" s="163"/>
      <c r="E66" s="163"/>
      <c r="F66" s="159" t="s">
        <v>167</v>
      </c>
      <c r="G66" s="162" t="s">
        <v>158</v>
      </c>
      <c r="H66" s="211" t="s">
        <v>168</v>
      </c>
      <c r="I66" s="208"/>
      <c r="J66" s="162"/>
      <c r="K66" s="162"/>
      <c r="L66" s="162"/>
      <c r="M66" s="162"/>
      <c r="N66" s="162"/>
      <c r="O66" s="162"/>
      <c r="Q66" s="278"/>
      <c r="R66" s="310"/>
      <c r="S66" s="321"/>
      <c r="T66" s="321"/>
      <c r="U66" s="321"/>
      <c r="V66" s="321"/>
      <c r="W66" s="321"/>
      <c r="X66" s="321"/>
      <c r="Y66" s="321"/>
    </row>
    <row r="67" spans="1:30">
      <c r="D67" s="163"/>
      <c r="E67" s="163"/>
      <c r="F67" s="159" t="s">
        <v>169</v>
      </c>
      <c r="G67" s="162" t="s">
        <v>170</v>
      </c>
      <c r="H67" s="211" t="s">
        <v>171</v>
      </c>
      <c r="I67" s="208"/>
      <c r="J67" s="162"/>
      <c r="K67" s="162"/>
      <c r="L67" s="162"/>
      <c r="M67" s="162"/>
      <c r="N67" s="162"/>
      <c r="Q67" s="278"/>
      <c r="R67" s="310"/>
      <c r="S67" s="321"/>
      <c r="T67" s="321"/>
      <c r="U67" s="321"/>
      <c r="V67" s="321"/>
      <c r="W67" s="321"/>
      <c r="X67" s="321"/>
      <c r="Y67" s="321"/>
    </row>
    <row r="68" spans="1:30">
      <c r="D68" s="163"/>
      <c r="E68" s="163"/>
      <c r="G68" s="162"/>
      <c r="I68" s="208"/>
      <c r="J68" s="162"/>
      <c r="K68" s="162"/>
      <c r="L68" s="162"/>
      <c r="M68" s="162"/>
      <c r="N68" s="162"/>
      <c r="Q68" s="278"/>
      <c r="R68" s="310"/>
      <c r="S68" s="321"/>
      <c r="T68" s="321"/>
      <c r="U68" s="321"/>
      <c r="V68" s="321"/>
      <c r="W68" s="321"/>
      <c r="X68" s="321"/>
      <c r="Y68" s="321"/>
    </row>
    <row r="69" spans="1:30">
      <c r="A69" s="83"/>
      <c r="D69" s="235" t="s">
        <v>346</v>
      </c>
      <c r="E69" s="163"/>
      <c r="F69" s="83"/>
      <c r="G69" s="83"/>
      <c r="I69" s="233"/>
      <c r="J69" s="162"/>
      <c r="K69" s="162"/>
      <c r="L69" s="162"/>
      <c r="M69" s="162"/>
      <c r="N69" s="162"/>
      <c r="S69" s="321"/>
      <c r="T69" s="321"/>
      <c r="U69" s="321"/>
      <c r="V69" s="321"/>
      <c r="W69" s="321"/>
      <c r="X69" s="321"/>
      <c r="Y69" s="321"/>
    </row>
    <row r="70" spans="1:30" s="159" customFormat="1">
      <c r="D70" s="317" t="s">
        <v>447</v>
      </c>
      <c r="E70" s="210"/>
      <c r="F70" s="159" t="s">
        <v>174</v>
      </c>
      <c r="H70" s="163" t="str">
        <f>"Plant Service Workers who hold a Class 'D' Water Supply Certificate shall receive an additional "&amp;TEXT(S70,"$0.000")&amp;" per hour for all hours paid."</f>
        <v>Plant Service Workers who hold a Class 'D' Water Supply Certificate shall receive an additional $0.266 per hour for all hours paid.</v>
      </c>
      <c r="I70" s="233"/>
      <c r="J70" s="162"/>
      <c r="K70" s="162"/>
      <c r="L70" s="162"/>
      <c r="M70" s="162"/>
      <c r="N70" s="162"/>
      <c r="P70" s="279" t="s">
        <v>445</v>
      </c>
      <c r="Q70" s="279" t="s">
        <v>389</v>
      </c>
      <c r="R70" s="279" t="s">
        <v>390</v>
      </c>
      <c r="S70" s="321">
        <f>IF(P70="Y",VLOOKUP(Q70,Rates2020,3,0)*PercIncr2021,VLOOKUP(Q70,Rates2020,3,0))</f>
        <v>0.26581638343749997</v>
      </c>
      <c r="T70" s="321"/>
      <c r="U70" s="321"/>
      <c r="V70" s="321"/>
      <c r="W70" s="321"/>
      <c r="X70" s="321"/>
      <c r="Y70" s="321"/>
      <c r="Z70" s="208"/>
      <c r="AA70" s="208"/>
      <c r="AB70" s="208"/>
      <c r="AC70" s="208"/>
      <c r="AD70" s="208"/>
    </row>
    <row r="71" spans="1:30" s="159" customFormat="1">
      <c r="D71" s="210"/>
      <c r="E71" s="210"/>
      <c r="H71" s="211"/>
      <c r="I71" s="233"/>
      <c r="J71" s="162"/>
      <c r="K71" s="162"/>
      <c r="L71" s="162"/>
      <c r="M71" s="162"/>
      <c r="N71" s="162"/>
      <c r="P71" s="279"/>
      <c r="Q71" s="279"/>
      <c r="R71" s="279"/>
      <c r="S71" s="284"/>
      <c r="T71" s="284"/>
      <c r="U71" s="321"/>
      <c r="V71" s="321"/>
      <c r="W71" s="321"/>
      <c r="X71" s="321"/>
      <c r="Y71" s="321"/>
      <c r="Z71" s="208"/>
      <c r="AA71" s="208"/>
      <c r="AB71" s="208"/>
      <c r="AC71" s="208"/>
      <c r="AD71" s="208"/>
    </row>
    <row r="72" spans="1:30" s="159" customFormat="1">
      <c r="D72" s="163" t="s">
        <v>348</v>
      </c>
      <c r="E72" s="314"/>
      <c r="F72" s="315"/>
      <c r="G72" s="315"/>
      <c r="H72" s="316"/>
      <c r="I72" s="233"/>
      <c r="J72" s="162"/>
      <c r="K72" s="162"/>
      <c r="L72" s="162"/>
      <c r="M72" s="162"/>
      <c r="N72" s="162"/>
      <c r="P72" s="279"/>
      <c r="Q72" s="279"/>
      <c r="R72" s="279"/>
      <c r="S72" s="284"/>
      <c r="T72" s="284"/>
      <c r="U72" s="321"/>
      <c r="V72" s="321"/>
      <c r="W72" s="321"/>
      <c r="X72" s="321"/>
      <c r="Y72" s="321"/>
      <c r="Z72" s="208"/>
      <c r="AA72" s="208"/>
      <c r="AB72" s="208"/>
      <c r="AC72" s="208"/>
      <c r="AD72" s="208"/>
    </row>
    <row r="73" spans="1:30" s="159" customFormat="1">
      <c r="D73" s="163" t="s">
        <v>176</v>
      </c>
      <c r="E73" s="163"/>
      <c r="H73" s="211"/>
      <c r="I73" s="233"/>
      <c r="J73" s="162"/>
      <c r="K73" s="162"/>
      <c r="L73" s="162"/>
      <c r="M73" s="162"/>
      <c r="N73" s="162"/>
      <c r="P73" s="279"/>
      <c r="Q73" s="279"/>
      <c r="R73" s="279"/>
      <c r="S73" s="284"/>
      <c r="T73" s="284"/>
      <c r="U73" s="321"/>
      <c r="V73" s="321"/>
      <c r="W73" s="321"/>
      <c r="X73" s="321"/>
      <c r="Y73" s="321"/>
      <c r="Z73" s="208"/>
      <c r="AA73" s="208"/>
      <c r="AB73" s="208"/>
      <c r="AC73" s="208"/>
      <c r="AD73" s="208"/>
    </row>
    <row r="74" spans="1:30" s="159" customFormat="1">
      <c r="D74" s="210"/>
      <c r="E74" s="210"/>
      <c r="H74" s="160"/>
      <c r="I74" s="236"/>
      <c r="J74" s="162"/>
      <c r="K74" s="162"/>
      <c r="L74" s="162"/>
      <c r="M74" s="162"/>
      <c r="N74" s="162"/>
      <c r="P74" s="279"/>
      <c r="Q74" s="279"/>
      <c r="R74" s="279"/>
      <c r="S74" s="284"/>
      <c r="T74" s="284"/>
      <c r="U74" s="321"/>
      <c r="V74" s="321"/>
      <c r="W74" s="321"/>
      <c r="X74" s="321"/>
      <c r="Y74" s="321"/>
      <c r="Z74" s="208"/>
      <c r="AA74" s="208"/>
      <c r="AB74" s="208"/>
      <c r="AC74" s="208"/>
      <c r="AD74" s="208"/>
    </row>
    <row r="75" spans="1:30">
      <c r="D75" s="234" t="s">
        <v>448</v>
      </c>
      <c r="E75" s="234"/>
      <c r="H75" s="159" t="s">
        <v>449</v>
      </c>
      <c r="I75" s="236"/>
      <c r="J75" s="83"/>
      <c r="K75" s="83"/>
      <c r="L75" s="161"/>
      <c r="M75" s="162"/>
      <c r="N75" s="162"/>
      <c r="P75" s="279" t="s">
        <v>445</v>
      </c>
      <c r="Q75" s="279" t="s">
        <v>391</v>
      </c>
      <c r="R75" s="279" t="s">
        <v>392</v>
      </c>
      <c r="S75" s="321">
        <f>IF(P75="Y",VLOOKUP(Q75,Rates2020,3,0)*PercIncr2021,VLOOKUP(Q75,Rates2020,3,0))</f>
        <v>1.9790140125</v>
      </c>
      <c r="T75" s="284"/>
      <c r="U75" s="321"/>
      <c r="V75" s="321"/>
      <c r="W75" s="321"/>
      <c r="X75" s="321"/>
      <c r="Y75" s="321"/>
    </row>
    <row r="76" spans="1:30">
      <c r="A76" s="164"/>
      <c r="D76" s="163" t="str">
        <f>"duties, and shall receive a premium of "&amp;TEXT(S75,"$0.000" )&amp;" per hour on a 'as worked' basis when so assigned."</f>
        <v>duties, and shall receive a premium of $1.979 per hour on a 'as worked' basis when so assigned.</v>
      </c>
      <c r="E76" s="164"/>
      <c r="F76" s="164"/>
      <c r="H76" s="160"/>
      <c r="I76" s="159"/>
      <c r="J76" s="83"/>
      <c r="K76" s="83"/>
      <c r="L76" s="161"/>
      <c r="M76" s="162"/>
      <c r="N76" s="162"/>
      <c r="Q76" s="279"/>
      <c r="R76" s="279"/>
      <c r="S76" s="284"/>
      <c r="T76" s="284"/>
      <c r="U76" s="321"/>
      <c r="V76" s="321"/>
      <c r="W76" s="321"/>
      <c r="X76" s="321"/>
      <c r="Y76" s="321"/>
    </row>
    <row r="77" spans="1:30">
      <c r="A77" s="164"/>
      <c r="D77" s="163"/>
      <c r="E77" s="164"/>
      <c r="F77" s="164"/>
      <c r="H77" s="160"/>
      <c r="I77" s="159"/>
      <c r="J77" s="83"/>
      <c r="K77" s="83"/>
      <c r="L77" s="161"/>
      <c r="M77" s="162"/>
      <c r="N77" s="162"/>
      <c r="Q77" s="279"/>
      <c r="R77" s="279"/>
      <c r="S77" s="284"/>
      <c r="T77" s="284"/>
      <c r="U77" s="321"/>
      <c r="V77" s="321"/>
      <c r="W77" s="321"/>
      <c r="X77" s="321"/>
      <c r="Y77" s="321"/>
    </row>
    <row r="78" spans="1:30">
      <c r="D78" s="237" t="s">
        <v>242</v>
      </c>
      <c r="E78" s="217"/>
      <c r="Q78" s="279"/>
      <c r="R78" s="279"/>
      <c r="S78" s="284"/>
      <c r="T78" s="284"/>
      <c r="U78" s="321"/>
      <c r="V78" s="321"/>
      <c r="W78" s="321"/>
      <c r="X78" s="321"/>
      <c r="Y78" s="321"/>
    </row>
    <row r="79" spans="1:30">
      <c r="D79" s="238" t="s">
        <v>351</v>
      </c>
      <c r="E79" s="238"/>
      <c r="H79" s="217"/>
      <c r="I79" s="239"/>
      <c r="J79" s="213"/>
      <c r="Q79" s="279"/>
      <c r="R79" s="279"/>
      <c r="S79" s="284"/>
      <c r="T79" s="284"/>
      <c r="U79" s="321"/>
      <c r="V79" s="321"/>
      <c r="W79" s="321"/>
      <c r="X79" s="321"/>
      <c r="Y79" s="321"/>
    </row>
    <row r="80" spans="1:30">
      <c r="D80" s="238" t="str">
        <f>"premium of "&amp;TEXT(S80,"$0.000")&amp;" per hour for all hours spent training shall be paid.  The employer will establish strict assignment protocol."</f>
        <v>premium of $3.331 per hour for all hours spent training shall be paid.  The employer will establish strict assignment protocol.</v>
      </c>
      <c r="E80" s="238"/>
      <c r="H80" s="217"/>
      <c r="I80" s="239"/>
      <c r="J80" s="164"/>
      <c r="K80" s="164"/>
      <c r="L80" s="208"/>
      <c r="M80" s="208"/>
      <c r="N80" s="208"/>
      <c r="P80" s="279" t="s">
        <v>445</v>
      </c>
      <c r="Q80" s="288" t="s">
        <v>394</v>
      </c>
      <c r="R80" s="288" t="s">
        <v>395</v>
      </c>
      <c r="S80" s="321">
        <f>IF(P80="Y",VLOOKUP(Q80,Rates2020,3,0)*PercIncr2021,VLOOKUP(Q80,Rates2020,3,0))</f>
        <v>3.3312109172387503</v>
      </c>
      <c r="T80" s="321"/>
      <c r="U80" s="321"/>
      <c r="V80" s="321"/>
      <c r="W80" s="321"/>
      <c r="X80" s="321"/>
      <c r="Y80" s="321"/>
    </row>
    <row r="81" spans="1:25">
      <c r="D81" s="238"/>
      <c r="E81" s="238"/>
      <c r="I81" s="218"/>
      <c r="J81" s="220"/>
      <c r="M81" s="220"/>
      <c r="Q81" s="279"/>
      <c r="R81" s="279"/>
      <c r="S81" s="284"/>
      <c r="T81" s="284"/>
      <c r="U81" s="321"/>
      <c r="V81" s="321"/>
      <c r="W81" s="321"/>
      <c r="X81" s="321"/>
      <c r="Y81" s="321"/>
    </row>
    <row r="82" spans="1:25">
      <c r="A82" s="209"/>
      <c r="D82" s="237" t="s">
        <v>246</v>
      </c>
      <c r="E82" s="217"/>
      <c r="F82" s="209"/>
      <c r="G82" s="209"/>
      <c r="I82" s="218"/>
      <c r="J82" s="220"/>
      <c r="M82" s="220"/>
      <c r="Q82" s="279"/>
      <c r="R82" s="279"/>
      <c r="S82" s="284"/>
      <c r="T82" s="284"/>
      <c r="U82" s="321"/>
      <c r="V82" s="321"/>
      <c r="W82" s="321"/>
      <c r="X82" s="321"/>
      <c r="Y82" s="321"/>
    </row>
    <row r="83" spans="1:25">
      <c r="A83" s="209"/>
      <c r="D83" s="318" t="s">
        <v>450</v>
      </c>
      <c r="E83" s="238"/>
      <c r="F83" s="209"/>
      <c r="G83" s="209"/>
      <c r="H83" s="160" t="str">
        <f>"shall receive a premium of "&amp;TEXT(S83,"$0.000")&amp;" per hour for all hours worked performing Bio-Hazard Clean-up duties. "</f>
        <v xml:space="preserve">shall receive a premium of $0.848 per hour for all hours worked performing Bio-Hazard Clean-up duties. </v>
      </c>
      <c r="I83" s="164"/>
      <c r="J83" s="164"/>
      <c r="K83" s="240"/>
      <c r="L83" s="211"/>
      <c r="M83" s="162"/>
      <c r="N83" s="162"/>
      <c r="P83" s="279" t="s">
        <v>445</v>
      </c>
      <c r="Q83" s="279" t="s">
        <v>398</v>
      </c>
      <c r="R83" s="279" t="s">
        <v>399</v>
      </c>
      <c r="S83" s="321">
        <f>IF(P83="Y",VLOOKUP(Q83,Rates2020,3,0)*PercIncr2021,VLOOKUP(Q83,Rates2020,3,0))</f>
        <v>0.84770363999999998</v>
      </c>
      <c r="T83" s="284"/>
      <c r="U83" s="321"/>
      <c r="V83" s="321"/>
      <c r="W83" s="321"/>
      <c r="X83" s="321"/>
      <c r="Y83" s="321"/>
    </row>
    <row r="84" spans="1:25">
      <c r="A84" s="164"/>
      <c r="D84" s="163"/>
      <c r="E84" s="164"/>
      <c r="F84" s="164"/>
      <c r="H84" s="160"/>
      <c r="I84" s="159"/>
      <c r="J84" s="83"/>
      <c r="K84" s="83"/>
      <c r="L84" s="161"/>
      <c r="M84" s="162"/>
      <c r="N84" s="162"/>
      <c r="S84" s="321"/>
      <c r="T84" s="321"/>
      <c r="U84" s="321"/>
      <c r="V84" s="321"/>
      <c r="W84" s="321"/>
      <c r="X84" s="321"/>
      <c r="Y84" s="321"/>
    </row>
    <row r="85" spans="1:25">
      <c r="A85" s="83"/>
      <c r="D85" s="166" t="s">
        <v>400</v>
      </c>
      <c r="E85" s="166"/>
      <c r="F85" s="83"/>
      <c r="G85" s="83"/>
      <c r="H85" s="160"/>
      <c r="J85" s="241"/>
      <c r="K85" s="241"/>
      <c r="L85" s="242"/>
      <c r="M85" s="162"/>
      <c r="N85" s="162"/>
      <c r="Q85" s="279"/>
      <c r="R85" s="279"/>
      <c r="S85" s="284"/>
      <c r="T85" s="284"/>
      <c r="U85" s="325"/>
      <c r="V85" s="325"/>
      <c r="W85" s="325"/>
      <c r="X85" s="321"/>
      <c r="Y85" s="321"/>
    </row>
    <row r="86" spans="1:25" s="231" customFormat="1" ht="39" customHeight="1">
      <c r="A86" s="243"/>
      <c r="C86" s="209"/>
      <c r="D86" s="291" t="s">
        <v>188</v>
      </c>
      <c r="E86" s="241"/>
      <c r="F86" s="243"/>
      <c r="G86" s="243"/>
      <c r="H86" s="160"/>
      <c r="I86" s="167"/>
      <c r="L86" s="244" t="s">
        <v>451</v>
      </c>
      <c r="M86" s="244" t="s">
        <v>452</v>
      </c>
      <c r="N86" s="162"/>
      <c r="O86" s="159"/>
      <c r="P86" s="279"/>
      <c r="Q86" s="279"/>
      <c r="R86" s="279"/>
      <c r="S86" s="284"/>
      <c r="T86" s="284"/>
      <c r="U86" s="321"/>
      <c r="V86" s="321"/>
      <c r="W86" s="321"/>
      <c r="X86" s="325"/>
      <c r="Y86" s="325"/>
    </row>
    <row r="87" spans="1:25">
      <c r="A87" s="83"/>
      <c r="D87" s="160" t="s">
        <v>191</v>
      </c>
      <c r="E87" s="160"/>
      <c r="F87" s="83"/>
      <c r="G87" s="83"/>
      <c r="H87" s="160"/>
      <c r="J87" s="208"/>
      <c r="K87" s="208"/>
      <c r="L87" s="269">
        <f>S87</f>
        <v>0.49371669166726162</v>
      </c>
      <c r="M87" s="269"/>
      <c r="N87" s="162"/>
      <c r="P87" s="279" t="s">
        <v>445</v>
      </c>
      <c r="Q87" s="279" t="s">
        <v>403</v>
      </c>
      <c r="R87" s="279" t="s">
        <v>404</v>
      </c>
      <c r="S87" s="321">
        <f>IF(P87="Y",VLOOKUP(Q87,Rates2020,3,0)*PercIncr2021,VLOOKUP(Q87,Rates2020,3,0))</f>
        <v>0.49371669166726162</v>
      </c>
      <c r="T87" s="284"/>
      <c r="U87" s="321"/>
      <c r="V87" s="321"/>
      <c r="W87" s="321"/>
      <c r="X87" s="321"/>
      <c r="Y87" s="321"/>
    </row>
    <row r="88" spans="1:25">
      <c r="A88" s="83"/>
      <c r="D88" s="160" t="s">
        <v>355</v>
      </c>
      <c r="E88" s="160"/>
      <c r="F88" s="83"/>
      <c r="G88" s="83"/>
      <c r="H88" s="160"/>
      <c r="J88" s="208"/>
      <c r="K88" s="208"/>
      <c r="L88" s="269">
        <f>S88</f>
        <v>0.72693791483865178</v>
      </c>
      <c r="M88" s="269">
        <f>S89</f>
        <v>1.3811820381934383</v>
      </c>
      <c r="N88" s="162"/>
      <c r="P88" s="279" t="s">
        <v>445</v>
      </c>
      <c r="Q88" s="279" t="s">
        <v>405</v>
      </c>
      <c r="R88" s="279" t="s">
        <v>406</v>
      </c>
      <c r="S88" s="321">
        <f>IF(P88="Y",VLOOKUP(Q88,Rates2020,3,0)*PercIncr2021,VLOOKUP(Q88,Rates2020,3,0))</f>
        <v>0.72693791483865178</v>
      </c>
      <c r="T88" s="284"/>
      <c r="U88" s="321"/>
      <c r="V88" s="321"/>
      <c r="W88" s="321"/>
      <c r="X88" s="321"/>
      <c r="Y88" s="321"/>
    </row>
    <row r="89" spans="1:25" hidden="1">
      <c r="A89" s="83"/>
      <c r="D89" s="160"/>
      <c r="E89" s="160"/>
      <c r="F89" s="83"/>
      <c r="G89" s="83"/>
      <c r="H89" s="160"/>
      <c r="J89" s="208"/>
      <c r="K89" s="208"/>
      <c r="L89" s="220"/>
      <c r="M89" s="220"/>
      <c r="N89" s="162"/>
      <c r="P89" s="279" t="s">
        <v>445</v>
      </c>
      <c r="Q89" s="279" t="s">
        <v>407</v>
      </c>
      <c r="R89" s="279" t="s">
        <v>408</v>
      </c>
      <c r="S89" s="321">
        <f>IF(P89="Y",VLOOKUP(Q89,Rates2020,3,0)*PercIncr2021,VLOOKUP(Q89,Rates2020,3,0))</f>
        <v>1.3811820381934383</v>
      </c>
      <c r="T89" s="284"/>
      <c r="U89" s="321"/>
      <c r="V89" s="321"/>
      <c r="W89" s="321"/>
      <c r="X89" s="321"/>
      <c r="Y89" s="321"/>
    </row>
    <row r="90" spans="1:25">
      <c r="A90" s="83"/>
      <c r="D90" s="83" t="s">
        <v>193</v>
      </c>
      <c r="E90" s="83"/>
      <c r="F90" s="83"/>
      <c r="G90" s="83"/>
      <c r="H90" s="160"/>
      <c r="J90" s="208"/>
      <c r="K90" s="208"/>
      <c r="L90" s="269" t="s">
        <v>194</v>
      </c>
      <c r="M90" s="269">
        <f>S91</f>
        <v>1.1841486276706972</v>
      </c>
      <c r="N90" s="162"/>
      <c r="Q90" s="278"/>
      <c r="R90" s="278"/>
      <c r="S90" s="321"/>
      <c r="T90" s="284"/>
      <c r="U90" s="321"/>
      <c r="V90" s="321"/>
      <c r="W90" s="321"/>
      <c r="X90" s="321"/>
      <c r="Y90" s="321"/>
    </row>
    <row r="91" spans="1:25">
      <c r="A91" s="83"/>
      <c r="D91" s="160" t="s">
        <v>195</v>
      </c>
      <c r="E91" s="160"/>
      <c r="F91" s="83"/>
      <c r="G91" s="83"/>
      <c r="H91" s="160"/>
      <c r="J91" s="208"/>
      <c r="K91" s="208"/>
      <c r="L91" s="269">
        <f>S92</f>
        <v>2.0354261615482256</v>
      </c>
      <c r="M91" s="269"/>
      <c r="N91" s="162"/>
      <c r="P91" s="279" t="s">
        <v>445</v>
      </c>
      <c r="Q91" s="279" t="s">
        <v>409</v>
      </c>
      <c r="R91" s="279" t="s">
        <v>410</v>
      </c>
      <c r="S91" s="321">
        <f>IF(P91="Y",VLOOKUP(Q91,Rates2020,3,0)*PercIncr2021,VLOOKUP(Q91,Rates2020,3,0))</f>
        <v>1.1841486276706972</v>
      </c>
      <c r="T91" s="284"/>
      <c r="U91" s="321"/>
      <c r="V91" s="321"/>
      <c r="W91" s="321"/>
      <c r="X91" s="321"/>
      <c r="Y91" s="321"/>
    </row>
    <row r="92" spans="1:25">
      <c r="A92" s="83"/>
      <c r="D92" s="83" t="s">
        <v>196</v>
      </c>
      <c r="E92" s="83"/>
      <c r="F92" s="83"/>
      <c r="G92" s="83"/>
      <c r="H92" s="160"/>
      <c r="I92" s="236"/>
      <c r="J92" s="208"/>
      <c r="K92" s="208"/>
      <c r="L92" s="269">
        <f t="shared" ref="L92:L93" si="5">S93</f>
        <v>1.8173447870966299</v>
      </c>
      <c r="M92" s="249"/>
      <c r="N92" s="162"/>
      <c r="P92" s="279" t="s">
        <v>445</v>
      </c>
      <c r="Q92" s="279" t="s">
        <v>411</v>
      </c>
      <c r="R92" s="279" t="s">
        <v>412</v>
      </c>
      <c r="S92" s="321">
        <f>IF(P92="Y",VLOOKUP(Q92,Rates2020,3,0)*PercIncr2021,VLOOKUP(Q92,Rates2020,3,0))</f>
        <v>2.0354261615482256</v>
      </c>
      <c r="T92" s="284"/>
      <c r="U92" s="321"/>
      <c r="V92" s="321"/>
      <c r="W92" s="321"/>
      <c r="X92" s="321"/>
      <c r="Y92" s="321"/>
    </row>
    <row r="93" spans="1:25">
      <c r="A93" s="83"/>
      <c r="D93" s="83" t="s">
        <v>197</v>
      </c>
      <c r="E93" s="83"/>
      <c r="F93" s="83"/>
      <c r="G93" s="83"/>
      <c r="H93" s="160"/>
      <c r="I93" s="236"/>
      <c r="J93" s="208"/>
      <c r="K93" s="208"/>
      <c r="L93" s="269">
        <f t="shared" si="5"/>
        <v>0.72693791483865178</v>
      </c>
      <c r="M93" s="249"/>
      <c r="N93" s="162"/>
      <c r="P93" s="279" t="s">
        <v>445</v>
      </c>
      <c r="Q93" s="279" t="s">
        <v>413</v>
      </c>
      <c r="R93" s="279" t="s">
        <v>414</v>
      </c>
      <c r="S93" s="321">
        <f>IF(P93="Y",VLOOKUP(Q93,Rates2020,3,0)*PercIncr2021,VLOOKUP(Q93,Rates2020,3,0))</f>
        <v>1.8173447870966299</v>
      </c>
      <c r="T93" s="284"/>
      <c r="U93" s="321"/>
      <c r="V93" s="321"/>
      <c r="W93" s="321"/>
      <c r="X93" s="321"/>
      <c r="Y93" s="321"/>
    </row>
    <row r="94" spans="1:25">
      <c r="A94" s="83"/>
      <c r="D94" s="83"/>
      <c r="E94" s="83"/>
      <c r="F94" s="83"/>
      <c r="G94" s="83"/>
      <c r="H94" s="160"/>
      <c r="I94" s="236"/>
      <c r="J94" s="83"/>
      <c r="K94" s="83"/>
      <c r="L94" s="83"/>
      <c r="M94" s="162"/>
      <c r="N94" s="162"/>
      <c r="P94" s="279" t="s">
        <v>445</v>
      </c>
      <c r="Q94" s="279" t="s">
        <v>415</v>
      </c>
      <c r="R94" s="279" t="s">
        <v>416</v>
      </c>
      <c r="S94" s="321">
        <f>IF(P94="Y",VLOOKUP(Q94,Rates2020,3,0)*PercIncr2021,VLOOKUP(Q94,Rates2020,3,0))</f>
        <v>0.72693791483865178</v>
      </c>
      <c r="T94" s="284"/>
      <c r="U94" s="321"/>
      <c r="V94" s="321"/>
      <c r="W94" s="321"/>
      <c r="X94" s="321"/>
      <c r="Y94" s="321"/>
    </row>
    <row r="95" spans="1:25">
      <c r="A95" s="83"/>
      <c r="D95" s="234" t="s">
        <v>198</v>
      </c>
      <c r="E95" s="234"/>
      <c r="F95" s="83"/>
      <c r="G95" s="83"/>
      <c r="H95" s="160"/>
      <c r="I95" s="236"/>
      <c r="J95" s="83"/>
      <c r="K95" s="83"/>
      <c r="L95" s="83"/>
      <c r="M95" s="162"/>
      <c r="N95" s="162"/>
      <c r="S95" s="321"/>
      <c r="T95" s="284"/>
      <c r="U95" s="321"/>
      <c r="V95" s="321"/>
      <c r="W95" s="321"/>
      <c r="X95" s="321"/>
      <c r="Y95" s="321"/>
    </row>
    <row r="96" spans="1:25">
      <c r="A96" s="170"/>
      <c r="D96" s="165" t="s">
        <v>199</v>
      </c>
      <c r="E96" s="232"/>
      <c r="F96" s="170"/>
      <c r="G96" s="170"/>
      <c r="H96" s="245"/>
      <c r="I96" s="170"/>
      <c r="J96" s="170"/>
      <c r="K96" s="170"/>
      <c r="L96" s="170"/>
      <c r="M96" s="246"/>
      <c r="N96" s="246"/>
      <c r="Q96" s="279"/>
      <c r="R96" s="279"/>
      <c r="S96" s="284"/>
      <c r="T96" s="284"/>
      <c r="U96" s="321"/>
      <c r="V96" s="321"/>
      <c r="W96" s="321"/>
      <c r="X96" s="321"/>
      <c r="Y96" s="321"/>
    </row>
    <row r="97" spans="1:25">
      <c r="A97" s="170"/>
      <c r="D97" s="165" t="s">
        <v>200</v>
      </c>
      <c r="E97" s="232"/>
      <c r="F97" s="170"/>
      <c r="G97" s="170"/>
      <c r="H97" s="245"/>
      <c r="I97" s="170"/>
      <c r="J97" s="170"/>
      <c r="K97" s="170"/>
      <c r="L97" s="170"/>
      <c r="M97" s="246"/>
      <c r="N97" s="246"/>
      <c r="Q97" s="279"/>
      <c r="R97" s="279"/>
      <c r="S97" s="284"/>
      <c r="T97" s="284"/>
      <c r="U97" s="321"/>
      <c r="V97" s="321"/>
      <c r="W97" s="321"/>
      <c r="X97" s="321"/>
      <c r="Y97" s="321"/>
    </row>
    <row r="98" spans="1:25">
      <c r="A98" s="170"/>
      <c r="D98" s="165" t="s">
        <v>201</v>
      </c>
      <c r="E98" s="232"/>
      <c r="F98" s="170"/>
      <c r="G98" s="170"/>
      <c r="H98" s="245"/>
      <c r="I98" s="170"/>
      <c r="J98" s="170"/>
      <c r="K98" s="170"/>
      <c r="L98" s="170"/>
      <c r="M98" s="246"/>
      <c r="N98" s="246"/>
      <c r="Q98" s="279"/>
      <c r="R98" s="279"/>
      <c r="S98" s="284"/>
      <c r="T98" s="284"/>
      <c r="U98" s="321"/>
      <c r="V98" s="321"/>
      <c r="W98" s="321"/>
      <c r="X98" s="321"/>
      <c r="Y98" s="321"/>
    </row>
    <row r="99" spans="1:25">
      <c r="A99" s="170"/>
      <c r="D99" s="165" t="s">
        <v>202</v>
      </c>
      <c r="E99" s="232"/>
      <c r="F99" s="170"/>
      <c r="G99" s="170"/>
      <c r="H99" s="245"/>
      <c r="I99" s="170"/>
      <c r="J99" s="170"/>
      <c r="K99" s="170"/>
      <c r="L99" s="170"/>
      <c r="M99" s="246"/>
      <c r="N99" s="246"/>
      <c r="Q99" s="279"/>
      <c r="R99" s="279"/>
      <c r="S99" s="284"/>
      <c r="T99" s="284"/>
      <c r="U99" s="321"/>
      <c r="V99" s="321"/>
      <c r="W99" s="321"/>
      <c r="X99" s="321"/>
      <c r="Y99" s="321"/>
    </row>
    <row r="100" spans="1:25">
      <c r="A100" s="170"/>
      <c r="D100" s="165" t="s">
        <v>203</v>
      </c>
      <c r="E100" s="232"/>
      <c r="F100" s="170"/>
      <c r="G100" s="170"/>
      <c r="H100" s="245"/>
      <c r="I100" s="170"/>
      <c r="J100" s="170"/>
      <c r="K100" s="170"/>
      <c r="L100" s="170"/>
      <c r="M100" s="246"/>
      <c r="N100" s="246"/>
      <c r="Q100" s="279"/>
      <c r="R100" s="279"/>
      <c r="S100" s="284"/>
      <c r="T100" s="284"/>
      <c r="U100" s="321"/>
      <c r="V100" s="321"/>
      <c r="W100" s="321"/>
      <c r="X100" s="321"/>
      <c r="Y100" s="321"/>
    </row>
    <row r="101" spans="1:25">
      <c r="A101" s="170"/>
      <c r="D101" s="165" t="s">
        <v>204</v>
      </c>
      <c r="E101" s="232"/>
      <c r="F101" s="170"/>
      <c r="G101" s="170"/>
      <c r="H101" s="245"/>
      <c r="I101" s="170"/>
      <c r="J101" s="170"/>
      <c r="K101" s="170"/>
      <c r="L101" s="170"/>
      <c r="M101" s="246"/>
      <c r="N101" s="246"/>
      <c r="Q101" s="279"/>
      <c r="R101" s="279"/>
      <c r="S101" s="284"/>
      <c r="T101" s="284"/>
      <c r="U101" s="321"/>
      <c r="V101" s="321"/>
      <c r="W101" s="321"/>
      <c r="X101" s="321"/>
      <c r="Y101" s="321"/>
    </row>
    <row r="102" spans="1:25">
      <c r="A102" s="170"/>
      <c r="D102" s="165" t="s">
        <v>205</v>
      </c>
      <c r="E102" s="232"/>
      <c r="F102" s="170"/>
      <c r="G102" s="170"/>
      <c r="H102" s="245"/>
      <c r="I102" s="170"/>
      <c r="J102" s="170"/>
      <c r="K102" s="170"/>
      <c r="L102" s="170"/>
      <c r="M102" s="246"/>
      <c r="N102" s="246"/>
      <c r="Q102" s="279"/>
      <c r="R102" s="279"/>
      <c r="S102" s="284"/>
      <c r="T102" s="284"/>
      <c r="U102" s="326"/>
      <c r="V102" s="321"/>
      <c r="W102" s="321"/>
      <c r="X102" s="321"/>
      <c r="Y102" s="321"/>
    </row>
    <row r="103" spans="1:25">
      <c r="A103" s="170"/>
      <c r="D103" s="165" t="s">
        <v>206</v>
      </c>
      <c r="E103" s="232"/>
      <c r="F103" s="170"/>
      <c r="G103" s="170"/>
      <c r="H103" s="245"/>
      <c r="I103" s="170"/>
      <c r="J103" s="170"/>
      <c r="K103" s="170"/>
      <c r="L103" s="170"/>
      <c r="M103" s="246"/>
      <c r="N103" s="246"/>
      <c r="Q103" s="279"/>
      <c r="R103" s="279"/>
      <c r="S103" s="284"/>
      <c r="T103" s="284"/>
      <c r="U103" s="326"/>
      <c r="V103" s="321"/>
      <c r="W103" s="321"/>
      <c r="X103" s="321"/>
      <c r="Y103" s="321"/>
    </row>
    <row r="104" spans="1:25">
      <c r="A104" s="170"/>
      <c r="D104" s="163" t="s">
        <v>207</v>
      </c>
      <c r="E104" s="247"/>
      <c r="F104" s="170"/>
      <c r="G104" s="170"/>
      <c r="H104" s="245"/>
      <c r="I104" s="170"/>
      <c r="J104" s="170"/>
      <c r="K104" s="170"/>
      <c r="L104" s="170"/>
      <c r="M104" s="246"/>
      <c r="N104" s="246"/>
      <c r="Q104" s="279"/>
      <c r="R104" s="279"/>
      <c r="S104" s="284"/>
      <c r="T104" s="284"/>
      <c r="U104" s="321"/>
      <c r="V104" s="326"/>
      <c r="W104" s="321"/>
      <c r="X104" s="321"/>
      <c r="Y104" s="321"/>
    </row>
    <row r="105" spans="1:25">
      <c r="A105" s="170"/>
      <c r="D105" s="163" t="s">
        <v>208</v>
      </c>
      <c r="E105" s="247"/>
      <c r="F105" s="170"/>
      <c r="G105" s="170"/>
      <c r="H105" s="245"/>
      <c r="I105" s="170"/>
      <c r="J105" s="170"/>
      <c r="K105" s="170"/>
      <c r="L105" s="170"/>
      <c r="M105" s="246"/>
      <c r="N105" s="246"/>
      <c r="Q105" s="279"/>
      <c r="R105" s="279"/>
      <c r="S105" s="284"/>
      <c r="T105" s="284"/>
      <c r="U105" s="321"/>
      <c r="V105" s="326"/>
      <c r="W105" s="321"/>
      <c r="X105" s="321"/>
      <c r="Y105" s="321"/>
    </row>
    <row r="106" spans="1:25">
      <c r="A106" s="170"/>
      <c r="D106" s="163" t="s">
        <v>209</v>
      </c>
      <c r="E106" s="247"/>
      <c r="F106" s="170"/>
      <c r="G106" s="170"/>
      <c r="H106" s="245"/>
      <c r="I106" s="170"/>
      <c r="J106" s="170"/>
      <c r="K106" s="170"/>
      <c r="L106" s="170"/>
      <c r="M106" s="246"/>
      <c r="N106" s="246"/>
      <c r="Q106" s="279"/>
      <c r="R106" s="279"/>
      <c r="S106" s="284"/>
      <c r="T106" s="284"/>
      <c r="U106" s="321"/>
      <c r="V106" s="321"/>
      <c r="W106" s="326"/>
      <c r="X106" s="321"/>
      <c r="Y106" s="321"/>
    </row>
    <row r="107" spans="1:25">
      <c r="A107" s="170"/>
      <c r="D107" s="165" t="s">
        <v>210</v>
      </c>
      <c r="E107" s="232"/>
      <c r="F107" s="170"/>
      <c r="G107" s="170"/>
      <c r="H107" s="245"/>
      <c r="I107" s="170"/>
      <c r="J107" s="170"/>
      <c r="K107" s="170"/>
      <c r="L107" s="170"/>
      <c r="M107" s="246"/>
      <c r="N107" s="246"/>
      <c r="Q107" s="279"/>
      <c r="R107" s="279"/>
      <c r="S107" s="284"/>
      <c r="T107" s="284"/>
      <c r="U107" s="321"/>
      <c r="V107" s="321"/>
      <c r="W107" s="326"/>
      <c r="X107" s="321"/>
      <c r="Y107" s="321"/>
    </row>
    <row r="108" spans="1:25">
      <c r="A108" s="170"/>
      <c r="D108" s="165" t="s">
        <v>211</v>
      </c>
      <c r="E108" s="232"/>
      <c r="F108" s="170"/>
      <c r="G108" s="170"/>
      <c r="H108" s="245"/>
      <c r="I108" s="170"/>
      <c r="J108" s="170"/>
      <c r="K108" s="170"/>
      <c r="L108" s="170"/>
      <c r="M108" s="246"/>
      <c r="N108" s="246"/>
      <c r="Q108" s="279"/>
      <c r="R108" s="279"/>
      <c r="S108" s="284"/>
      <c r="T108" s="284"/>
      <c r="U108" s="321"/>
      <c r="V108" s="321"/>
      <c r="W108" s="326"/>
      <c r="X108" s="321"/>
      <c r="Y108" s="321"/>
    </row>
    <row r="109" spans="1:25">
      <c r="A109" s="170"/>
      <c r="D109" s="165" t="s">
        <v>212</v>
      </c>
      <c r="E109" s="232"/>
      <c r="F109" s="170"/>
      <c r="G109" s="170"/>
      <c r="H109" s="245"/>
      <c r="I109" s="170"/>
      <c r="J109" s="170"/>
      <c r="K109" s="170"/>
      <c r="L109" s="170"/>
      <c r="M109" s="246"/>
      <c r="N109" s="246"/>
      <c r="Q109" s="279"/>
      <c r="R109" s="279"/>
      <c r="S109" s="284"/>
      <c r="T109" s="284"/>
      <c r="U109" s="321"/>
      <c r="V109" s="321"/>
      <c r="W109" s="326"/>
      <c r="X109" s="321"/>
      <c r="Y109" s="321"/>
    </row>
    <row r="110" spans="1:25">
      <c r="A110" s="208"/>
      <c r="D110" s="232"/>
      <c r="E110" s="232"/>
      <c r="F110" s="170"/>
      <c r="G110" s="171" t="s">
        <v>213</v>
      </c>
      <c r="H110" s="245"/>
      <c r="I110" s="170"/>
      <c r="J110" s="170"/>
      <c r="K110" s="170"/>
      <c r="L110" s="170"/>
      <c r="M110" s="246"/>
      <c r="N110" s="246"/>
      <c r="Q110" s="279"/>
      <c r="R110" s="279"/>
      <c r="S110" s="284"/>
      <c r="T110" s="284"/>
      <c r="U110" s="321"/>
      <c r="V110" s="321"/>
      <c r="W110" s="326"/>
      <c r="X110" s="321"/>
      <c r="Y110" s="321"/>
    </row>
    <row r="111" spans="1:25">
      <c r="A111" s="208"/>
      <c r="D111" s="232"/>
      <c r="E111" s="232"/>
      <c r="F111" s="170"/>
      <c r="G111" s="171" t="s">
        <v>356</v>
      </c>
      <c r="H111" s="245"/>
      <c r="I111" s="170"/>
      <c r="J111" s="170"/>
      <c r="K111" s="170"/>
      <c r="L111" s="170"/>
      <c r="M111" s="246"/>
      <c r="N111" s="246"/>
      <c r="Q111" s="279"/>
      <c r="R111" s="279"/>
      <c r="S111" s="284"/>
      <c r="T111" s="284"/>
      <c r="U111" s="321"/>
      <c r="V111" s="321"/>
      <c r="W111" s="326"/>
      <c r="X111" s="321"/>
      <c r="Y111" s="321"/>
    </row>
    <row r="112" spans="1:25">
      <c r="A112" s="208"/>
      <c r="D112" s="232"/>
      <c r="E112" s="232"/>
      <c r="F112" s="170"/>
      <c r="G112" s="171" t="s">
        <v>215</v>
      </c>
      <c r="H112" s="245"/>
      <c r="I112" s="170"/>
      <c r="J112" s="170"/>
      <c r="K112" s="170"/>
      <c r="L112" s="170"/>
      <c r="M112" s="246"/>
      <c r="N112" s="246"/>
      <c r="Q112" s="279"/>
      <c r="R112" s="279"/>
      <c r="S112" s="284"/>
      <c r="T112" s="284"/>
      <c r="U112" s="321"/>
      <c r="V112" s="321"/>
      <c r="W112" s="326"/>
      <c r="X112" s="321"/>
      <c r="Y112" s="321"/>
    </row>
    <row r="113" spans="1:25" s="164" customFormat="1">
      <c r="A113" s="170"/>
      <c r="C113" s="159"/>
      <c r="D113" s="232" t="s">
        <v>216</v>
      </c>
      <c r="E113" s="232"/>
      <c r="F113" s="170"/>
      <c r="G113" s="170"/>
      <c r="H113" s="245"/>
      <c r="I113" s="170"/>
      <c r="J113" s="246"/>
      <c r="K113" s="246"/>
      <c r="L113" s="246"/>
      <c r="M113" s="246"/>
      <c r="N113" s="246"/>
      <c r="O113" s="159"/>
      <c r="P113" s="279"/>
      <c r="Q113" s="279"/>
      <c r="R113" s="279"/>
      <c r="S113" s="284"/>
      <c r="T113" s="284"/>
      <c r="U113" s="321"/>
      <c r="V113" s="321"/>
      <c r="W113" s="321"/>
      <c r="X113" s="326"/>
      <c r="Y113" s="326"/>
    </row>
    <row r="114" spans="1:25" s="164" customFormat="1">
      <c r="A114" s="83"/>
      <c r="C114" s="159"/>
      <c r="D114" s="165"/>
      <c r="E114" s="165"/>
      <c r="F114" s="83"/>
      <c r="G114" s="83"/>
      <c r="H114" s="160"/>
      <c r="I114" s="236"/>
      <c r="J114" s="162"/>
      <c r="K114" s="162"/>
      <c r="L114" s="162"/>
      <c r="M114" s="162"/>
      <c r="N114" s="162"/>
      <c r="O114" s="159"/>
      <c r="P114" s="279"/>
      <c r="Q114" s="279"/>
      <c r="R114" s="279"/>
      <c r="S114" s="284"/>
      <c r="T114" s="284"/>
      <c r="U114" s="321"/>
      <c r="V114" s="321"/>
      <c r="W114" s="321"/>
      <c r="X114" s="326"/>
      <c r="Y114" s="326"/>
    </row>
    <row r="115" spans="1:25" s="164" customFormat="1">
      <c r="A115" s="83"/>
      <c r="C115" s="159"/>
      <c r="D115" s="166" t="s">
        <v>217</v>
      </c>
      <c r="E115" s="166"/>
      <c r="F115" s="83"/>
      <c r="G115" s="83"/>
      <c r="H115" s="160"/>
      <c r="I115" s="248"/>
      <c r="J115" s="249"/>
      <c r="K115" s="162"/>
      <c r="L115" s="162"/>
      <c r="M115" s="162"/>
      <c r="N115" s="162"/>
      <c r="O115" s="159"/>
      <c r="P115" s="279"/>
      <c r="Q115" s="279"/>
      <c r="R115" s="279"/>
      <c r="S115" s="284"/>
      <c r="T115" s="284"/>
      <c r="U115" s="321"/>
      <c r="V115" s="321"/>
      <c r="W115" s="321"/>
      <c r="X115" s="326"/>
      <c r="Y115" s="326"/>
    </row>
    <row r="116" spans="1:25">
      <c r="A116" s="83"/>
      <c r="D116" s="165" t="s">
        <v>357</v>
      </c>
      <c r="E116" s="165"/>
      <c r="F116" s="83"/>
      <c r="G116" s="83"/>
      <c r="H116" s="160"/>
      <c r="I116" s="236"/>
      <c r="J116" s="249"/>
      <c r="K116" s="162"/>
      <c r="L116" s="162"/>
      <c r="M116" s="162"/>
      <c r="N116" s="162"/>
      <c r="Q116" s="311" t="s">
        <v>417</v>
      </c>
      <c r="R116" s="279"/>
      <c r="S116" s="284"/>
      <c r="T116" s="284"/>
      <c r="U116" s="321"/>
      <c r="V116" s="321"/>
      <c r="W116" s="321"/>
      <c r="X116" s="321"/>
      <c r="Y116" s="321"/>
    </row>
    <row r="117" spans="1:25">
      <c r="A117" s="208"/>
      <c r="E117" s="269">
        <f>S117</f>
        <v>0.26228699244823267</v>
      </c>
      <c r="F117" s="208"/>
      <c r="G117" s="160" t="s">
        <v>220</v>
      </c>
      <c r="H117" s="160"/>
      <c r="I117" s="236"/>
      <c r="J117" s="249"/>
      <c r="K117" s="162"/>
      <c r="L117" s="162"/>
      <c r="M117" s="162"/>
      <c r="N117" s="162"/>
      <c r="P117" s="279" t="s">
        <v>445</v>
      </c>
      <c r="Q117" s="279" t="s">
        <v>418</v>
      </c>
      <c r="R117" s="279"/>
      <c r="S117" s="321">
        <f>IF(P117="Y",VLOOKUP(Q117,Rates2020,3,0)*PercIncr2021,VLOOKUP(Q117,Rates2020,3,0))</f>
        <v>0.26228699244823267</v>
      </c>
      <c r="T117" s="284"/>
      <c r="U117" s="321"/>
      <c r="V117" s="321"/>
      <c r="W117" s="321"/>
      <c r="X117" s="321"/>
      <c r="Y117" s="321"/>
    </row>
    <row r="118" spans="1:25">
      <c r="A118" s="208"/>
      <c r="E118" s="269">
        <f t="shared" ref="E118:E120" si="6">S118</f>
        <v>0.43585926686250454</v>
      </c>
      <c r="F118" s="208"/>
      <c r="G118" s="160" t="s">
        <v>221</v>
      </c>
      <c r="P118" s="279" t="s">
        <v>445</v>
      </c>
      <c r="Q118" s="279" t="s">
        <v>419</v>
      </c>
      <c r="R118" s="279"/>
      <c r="S118" s="321">
        <f>IF(P118="Y",VLOOKUP(Q118,Rates2020,3,0)*PercIncr2021,VLOOKUP(Q118,Rates2020,3,0))</f>
        <v>0.43585926686250454</v>
      </c>
      <c r="T118" s="284"/>
      <c r="U118" s="321"/>
      <c r="V118" s="321"/>
      <c r="W118" s="321"/>
      <c r="X118" s="321"/>
      <c r="Y118" s="321"/>
    </row>
    <row r="119" spans="1:25">
      <c r="A119" s="208"/>
      <c r="E119" s="269">
        <f t="shared" si="6"/>
        <v>0.52585970544768224</v>
      </c>
      <c r="F119" s="208"/>
      <c r="G119" s="160" t="s">
        <v>222</v>
      </c>
      <c r="H119" s="250"/>
      <c r="I119" s="251"/>
      <c r="J119" s="252"/>
      <c r="P119" s="279" t="s">
        <v>445</v>
      </c>
      <c r="Q119" s="279" t="s">
        <v>420</v>
      </c>
      <c r="R119" s="279"/>
      <c r="S119" s="321">
        <f>IF(P119="Y",VLOOKUP(Q119,Rates2020,3,0)*PercIncr2021,VLOOKUP(Q119,Rates2020,3,0))</f>
        <v>0.52585970544768224</v>
      </c>
      <c r="T119" s="284"/>
      <c r="U119" s="321"/>
      <c r="V119" s="321"/>
      <c r="W119" s="321"/>
      <c r="X119" s="321"/>
      <c r="Y119" s="321"/>
    </row>
    <row r="120" spans="1:25">
      <c r="A120" s="208"/>
      <c r="E120" s="269">
        <f t="shared" si="6"/>
        <v>0.68914621545221955</v>
      </c>
      <c r="F120" s="208"/>
      <c r="G120" s="160" t="s">
        <v>223</v>
      </c>
      <c r="I120" s="208"/>
      <c r="J120" s="252"/>
      <c r="P120" s="279" t="s">
        <v>445</v>
      </c>
      <c r="Q120" s="279" t="s">
        <v>421</v>
      </c>
      <c r="R120" s="279"/>
      <c r="S120" s="321">
        <f>IF(P120="Y",VLOOKUP(Q120,Rates2020,3,0)*PercIncr2021,VLOOKUP(Q120,Rates2020,3,0))</f>
        <v>0.68914621545221955</v>
      </c>
      <c r="T120" s="284"/>
      <c r="U120" s="321"/>
      <c r="V120" s="321"/>
      <c r="W120" s="321"/>
      <c r="X120" s="321"/>
      <c r="Y120" s="321"/>
    </row>
    <row r="121" spans="1:25">
      <c r="H121" s="253"/>
      <c r="I121" s="254"/>
      <c r="J121" s="255"/>
      <c r="Q121" s="278"/>
      <c r="R121" s="278"/>
      <c r="S121" s="321"/>
      <c r="T121" s="284"/>
      <c r="U121" s="321"/>
      <c r="V121" s="321"/>
      <c r="W121" s="321"/>
      <c r="X121" s="321"/>
      <c r="Y121" s="321"/>
    </row>
    <row r="122" spans="1:25">
      <c r="A122" s="256"/>
      <c r="D122" s="166" t="s">
        <v>224</v>
      </c>
      <c r="E122" s="166"/>
      <c r="F122" s="256"/>
      <c r="G122" s="256"/>
      <c r="I122" s="257"/>
      <c r="J122" s="258"/>
      <c r="Q122" s="278"/>
      <c r="R122" s="278"/>
      <c r="S122" s="321"/>
      <c r="T122" s="284"/>
      <c r="U122" s="321"/>
      <c r="V122" s="321"/>
      <c r="W122" s="321"/>
      <c r="X122" s="321"/>
      <c r="Y122" s="321"/>
    </row>
    <row r="123" spans="1:25">
      <c r="A123" s="259"/>
      <c r="D123" s="165" t="s">
        <v>453</v>
      </c>
      <c r="E123" s="165"/>
      <c r="F123" s="259"/>
      <c r="G123" s="259"/>
      <c r="H123" s="211" t="str">
        <f>"The employer shall pay a Shift Differential equal to  "&amp;TEXT(S125,"$0.000")&amp;" per hour for all work shifts that have a "</f>
        <v xml:space="preserve">The employer shall pay a Shift Differential equal to  $1.468 per hour for all work shifts that have a </v>
      </c>
      <c r="K123" s="208"/>
      <c r="L123" s="260"/>
      <c r="M123" s="211"/>
      <c r="N123" s="208"/>
      <c r="Q123" s="279"/>
      <c r="R123" s="279"/>
      <c r="S123" s="284"/>
      <c r="T123" s="284"/>
      <c r="U123" s="321"/>
      <c r="V123" s="321"/>
      <c r="W123" s="321"/>
      <c r="X123" s="321"/>
      <c r="Y123" s="321"/>
    </row>
    <row r="124" spans="1:25">
      <c r="A124" s="256"/>
      <c r="D124" s="165" t="s">
        <v>359</v>
      </c>
      <c r="E124" s="165"/>
      <c r="F124" s="256"/>
      <c r="G124" s="256"/>
      <c r="P124" s="278"/>
      <c r="Q124" s="279"/>
      <c r="R124" s="279"/>
      <c r="S124" s="284"/>
      <c r="T124" s="284"/>
      <c r="U124" s="321"/>
      <c r="V124" s="321"/>
      <c r="W124" s="321"/>
      <c r="X124" s="321"/>
      <c r="Y124" s="321"/>
    </row>
    <row r="125" spans="1:25">
      <c r="A125" s="258"/>
      <c r="D125" s="165" t="s">
        <v>227</v>
      </c>
      <c r="E125" s="165"/>
      <c r="F125" s="258"/>
      <c r="G125" s="258"/>
      <c r="P125" s="279" t="s">
        <v>445</v>
      </c>
      <c r="Q125" s="279" t="s">
        <v>423</v>
      </c>
      <c r="R125" s="279" t="s">
        <v>424</v>
      </c>
      <c r="S125" s="321">
        <f>IF(P125="Y",VLOOKUP(Q125,Rates2020,3,0)*PercIncr2021,VLOOKUP(Q125,Rates2020,3,0))</f>
        <v>1.4678985824999999</v>
      </c>
      <c r="T125" s="284"/>
      <c r="U125" s="321"/>
      <c r="V125" s="321"/>
      <c r="W125" s="321"/>
      <c r="X125" s="321"/>
      <c r="Y125" s="321"/>
    </row>
    <row r="126" spans="1:25">
      <c r="A126" s="258"/>
      <c r="D126" s="165" t="s">
        <v>228</v>
      </c>
      <c r="E126" s="165"/>
      <c r="F126" s="258"/>
      <c r="G126" s="258"/>
      <c r="P126" s="279" t="s">
        <v>445</v>
      </c>
      <c r="Q126" s="279" t="s">
        <v>425</v>
      </c>
      <c r="R126" s="279" t="s">
        <v>426</v>
      </c>
      <c r="S126" s="321">
        <f>IF(P126="Y",VLOOKUP(Q126,Rates2020,3,0)*PercIncr2021,VLOOKUP(Q126,Rates2020,3,0))</f>
        <v>1.4678985824999999</v>
      </c>
      <c r="T126" s="284"/>
      <c r="U126" s="321"/>
      <c r="V126" s="321"/>
      <c r="W126" s="321"/>
      <c r="X126" s="321"/>
      <c r="Y126" s="321"/>
    </row>
    <row r="127" spans="1:25">
      <c r="D127" s="165" t="s">
        <v>229</v>
      </c>
      <c r="E127" s="165"/>
      <c r="H127" s="160"/>
      <c r="I127" s="236"/>
      <c r="J127" s="83"/>
      <c r="K127" s="83"/>
      <c r="P127" s="279" t="s">
        <v>445</v>
      </c>
      <c r="Q127" s="279" t="s">
        <v>427</v>
      </c>
      <c r="R127" s="279" t="s">
        <v>428</v>
      </c>
      <c r="S127" s="321">
        <f>IF(P127="Y",VLOOKUP(Q127,Rates2020,3,0)*PercIncr2021,VLOOKUP(Q127,Rates2020,3,0))</f>
        <v>1.4678985824999999</v>
      </c>
      <c r="T127" s="284"/>
      <c r="U127" s="321"/>
      <c r="V127" s="321"/>
      <c r="W127" s="321"/>
      <c r="X127" s="321"/>
      <c r="Y127" s="321"/>
    </row>
    <row r="128" spans="1:25">
      <c r="D128" s="83"/>
      <c r="E128" s="83"/>
      <c r="H128" s="160"/>
      <c r="I128" s="236"/>
      <c r="J128" s="83"/>
      <c r="K128" s="83"/>
      <c r="Q128" s="279"/>
      <c r="R128" s="279"/>
      <c r="S128" s="284"/>
      <c r="T128" s="284"/>
      <c r="U128" s="321"/>
      <c r="V128" s="321"/>
      <c r="W128" s="321"/>
      <c r="X128" s="321"/>
      <c r="Y128" s="321"/>
    </row>
    <row r="129" spans="1:25">
      <c r="A129" s="83"/>
      <c r="D129" s="83" t="s">
        <v>454</v>
      </c>
      <c r="E129" s="83"/>
      <c r="F129" s="83"/>
      <c r="G129" s="83"/>
      <c r="H129" s="160"/>
      <c r="I129" s="236"/>
      <c r="J129" s="83"/>
      <c r="K129" s="83"/>
      <c r="P129" s="279" t="s">
        <v>445</v>
      </c>
      <c r="Q129" s="279" t="s">
        <v>431</v>
      </c>
      <c r="R129" s="279" t="s">
        <v>432</v>
      </c>
      <c r="S129" s="321">
        <f>IF(P129="Y",VLOOKUP(Q129,Rates2020,3,0)*PercIncr2021,VLOOKUP(Q129,Rates2020,3,0))</f>
        <v>1.3058375924999999</v>
      </c>
      <c r="T129" s="284"/>
      <c r="U129" s="321"/>
      <c r="V129" s="321"/>
      <c r="W129" s="321"/>
      <c r="X129" s="321"/>
      <c r="Y129" s="321"/>
    </row>
    <row r="130" spans="1:25">
      <c r="D130" s="210" t="str">
        <f>"between 11:00 a.m. and 6:00 a.m. shall be paid an additional "&amp;TEXT(S129,"$0.000") &amp; " per hour for all hours worked on the shift, including any overtime worked."</f>
        <v>between 11:00 a.m. and 6:00 a.m. shall be paid an additional $1.306 per hour for all hours worked on the shift, including any overtime worked.</v>
      </c>
      <c r="Q130" s="279"/>
      <c r="R130" s="279"/>
      <c r="S130" s="279"/>
      <c r="T130" s="279"/>
    </row>
    <row r="131" spans="1:25">
      <c r="A131" s="83"/>
      <c r="F131" s="83"/>
      <c r="G131" s="83"/>
      <c r="Q131" s="279"/>
      <c r="R131" s="279"/>
      <c r="S131" s="279"/>
      <c r="T131" s="279"/>
    </row>
    <row r="132" spans="1:25">
      <c r="A132" s="83"/>
      <c r="D132" s="159"/>
      <c r="E132" s="159"/>
      <c r="F132" s="83"/>
      <c r="G132" s="83"/>
      <c r="Q132" s="278"/>
      <c r="R132" s="278"/>
      <c r="T132" s="279"/>
    </row>
    <row r="133" spans="1:25">
      <c r="A133" s="83"/>
      <c r="D133" s="166" t="s">
        <v>456</v>
      </c>
      <c r="E133" s="166"/>
      <c r="F133" s="83"/>
      <c r="G133" s="83"/>
      <c r="H133" s="160"/>
      <c r="J133" s="83"/>
      <c r="K133" s="83"/>
      <c r="L133" s="83"/>
      <c r="M133" s="162"/>
      <c r="N133" s="162"/>
      <c r="Q133" s="279"/>
      <c r="R133" s="279"/>
      <c r="S133" s="279"/>
      <c r="T133" s="279"/>
      <c r="U133" s="287"/>
    </row>
    <row r="134" spans="1:25">
      <c r="A134" s="83"/>
      <c r="D134" s="165" t="s">
        <v>181</v>
      </c>
      <c r="E134" s="165"/>
      <c r="F134" s="83"/>
      <c r="G134" s="83"/>
      <c r="H134" s="160"/>
      <c r="J134" s="83"/>
      <c r="K134" s="83"/>
      <c r="L134" s="83"/>
      <c r="M134" s="162"/>
      <c r="N134" s="162"/>
      <c r="Q134" s="279"/>
      <c r="R134" s="279"/>
      <c r="S134" s="279"/>
      <c r="T134" s="279"/>
      <c r="U134" s="287"/>
      <c r="V134" s="287"/>
    </row>
    <row r="135" spans="1:25" ht="26.25">
      <c r="A135" s="208"/>
      <c r="D135" s="166"/>
      <c r="E135" s="166"/>
      <c r="F135" s="83"/>
      <c r="G135" s="168" t="s">
        <v>182</v>
      </c>
      <c r="H135" s="169" t="s">
        <v>183</v>
      </c>
      <c r="I135" s="208"/>
      <c r="J135" s="83"/>
      <c r="K135" s="83"/>
      <c r="L135" s="83"/>
      <c r="M135" s="162"/>
      <c r="N135" s="162"/>
      <c r="Q135" s="279"/>
      <c r="R135" s="279"/>
      <c r="S135" s="279"/>
      <c r="T135" s="279"/>
      <c r="U135" s="287"/>
      <c r="V135" s="287"/>
    </row>
    <row r="136" spans="1:25">
      <c r="A136" s="208"/>
      <c r="D136" s="208"/>
      <c r="E136" s="208"/>
      <c r="F136" s="83"/>
      <c r="G136" s="162" t="s">
        <v>154</v>
      </c>
      <c r="H136" s="162" t="s">
        <v>184</v>
      </c>
      <c r="I136" s="208"/>
      <c r="J136" s="83"/>
      <c r="K136" s="83"/>
      <c r="L136" s="83"/>
      <c r="M136" s="162"/>
      <c r="N136" s="162"/>
      <c r="O136" s="208"/>
      <c r="Q136" s="279"/>
      <c r="R136" s="278"/>
      <c r="T136" s="279"/>
      <c r="U136" s="287"/>
      <c r="V136" s="287"/>
      <c r="W136" s="287"/>
    </row>
    <row r="137" spans="1:25">
      <c r="A137" s="208"/>
      <c r="D137" s="163"/>
      <c r="E137" s="163"/>
      <c r="F137" s="83"/>
      <c r="G137" s="162" t="s">
        <v>156</v>
      </c>
      <c r="H137" s="162" t="s">
        <v>185</v>
      </c>
      <c r="I137" s="208"/>
      <c r="J137" s="83"/>
      <c r="K137" s="83"/>
      <c r="L137" s="83"/>
      <c r="M137" s="162"/>
      <c r="N137" s="162"/>
      <c r="Q137" s="278"/>
      <c r="R137" s="279"/>
      <c r="S137" s="279"/>
      <c r="V137" s="287"/>
      <c r="W137" s="287"/>
    </row>
    <row r="138" spans="1:25" s="164" customFormat="1">
      <c r="A138" s="208"/>
      <c r="C138" s="209"/>
      <c r="D138" s="208"/>
      <c r="E138" s="160"/>
      <c r="F138" s="208"/>
      <c r="G138" s="162" t="s">
        <v>158</v>
      </c>
      <c r="H138" s="162" t="s">
        <v>186</v>
      </c>
      <c r="I138" s="208"/>
      <c r="J138" s="83"/>
      <c r="K138" s="83"/>
      <c r="L138" s="83"/>
      <c r="M138" s="162"/>
      <c r="N138" s="162"/>
      <c r="O138" s="159"/>
      <c r="P138" s="279"/>
      <c r="Q138" s="279"/>
      <c r="R138" s="279"/>
      <c r="S138" s="279"/>
      <c r="T138" s="279"/>
      <c r="U138" s="278"/>
      <c r="V138" s="287"/>
      <c r="W138" s="287"/>
      <c r="X138" s="287"/>
      <c r="Y138" s="287"/>
    </row>
    <row r="139" spans="1:25" s="164" customFormat="1">
      <c r="A139" s="162"/>
      <c r="C139" s="209"/>
      <c r="D139" s="210"/>
      <c r="E139" s="210"/>
      <c r="F139" s="162"/>
      <c r="G139" s="162"/>
      <c r="H139" s="211"/>
      <c r="I139" s="167"/>
      <c r="J139" s="159"/>
      <c r="K139" s="159"/>
      <c r="L139" s="159"/>
      <c r="M139" s="159"/>
      <c r="N139" s="159"/>
      <c r="O139" s="159"/>
      <c r="P139" s="279"/>
      <c r="Q139" s="279"/>
      <c r="R139" s="279"/>
      <c r="S139" s="279"/>
      <c r="T139" s="279"/>
      <c r="U139" s="278"/>
      <c r="V139" s="278"/>
      <c r="W139" s="287"/>
      <c r="X139" s="287"/>
      <c r="Y139" s="287"/>
    </row>
    <row r="140" spans="1:25" s="164" customFormat="1">
      <c r="A140" s="83"/>
      <c r="C140" s="159"/>
      <c r="D140" s="165"/>
      <c r="E140" s="165"/>
      <c r="F140" s="83"/>
      <c r="G140" s="83"/>
      <c r="H140" s="211"/>
      <c r="I140" s="167"/>
      <c r="J140" s="159"/>
      <c r="K140" s="159"/>
      <c r="L140" s="159"/>
      <c r="M140" s="159"/>
      <c r="N140" s="159"/>
      <c r="O140" s="159"/>
      <c r="P140" s="279"/>
      <c r="Q140" s="279"/>
      <c r="R140" s="279"/>
      <c r="S140" s="279"/>
      <c r="T140" s="279"/>
      <c r="U140" s="278"/>
      <c r="V140" s="278"/>
      <c r="W140" s="278"/>
      <c r="X140" s="287"/>
      <c r="Y140" s="287"/>
    </row>
    <row r="141" spans="1:25" s="164" customFormat="1">
      <c r="A141" s="159"/>
      <c r="C141" s="159"/>
      <c r="D141" s="261" t="s">
        <v>364</v>
      </c>
      <c r="E141" s="210"/>
      <c r="F141" s="159"/>
      <c r="G141" s="159"/>
      <c r="H141" s="211"/>
      <c r="I141" s="167"/>
      <c r="J141" s="159"/>
      <c r="K141" s="159"/>
      <c r="L141" s="159"/>
      <c r="M141" s="159"/>
      <c r="N141" s="159"/>
      <c r="O141" s="159"/>
      <c r="P141" s="279"/>
      <c r="Q141" s="279"/>
      <c r="R141" s="279"/>
      <c r="S141" s="279"/>
      <c r="T141" s="279"/>
      <c r="U141" s="278"/>
      <c r="V141" s="278"/>
      <c r="W141" s="278"/>
      <c r="X141" s="287"/>
      <c r="Y141" s="287"/>
    </row>
    <row r="142" spans="1:25">
      <c r="D142" s="262" t="s">
        <v>365</v>
      </c>
      <c r="Q142" s="279"/>
      <c r="R142" s="279"/>
      <c r="S142" s="279"/>
      <c r="T142" s="279"/>
    </row>
    <row r="143" spans="1:25">
      <c r="D143" s="210" t="s">
        <v>366</v>
      </c>
      <c r="Q143" s="279"/>
      <c r="R143" s="279"/>
      <c r="S143" s="279"/>
      <c r="T143" s="279"/>
    </row>
    <row r="144" spans="1:25">
      <c r="D144" s="159"/>
      <c r="Q144" s="279"/>
      <c r="R144" s="279"/>
      <c r="S144" s="279"/>
      <c r="T144" s="279"/>
    </row>
    <row r="145" spans="4:20">
      <c r="D145" s="262" t="s">
        <v>367</v>
      </c>
      <c r="Q145" s="279"/>
      <c r="R145" s="279"/>
      <c r="S145" s="279"/>
      <c r="T145" s="279"/>
    </row>
    <row r="146" spans="4:20">
      <c r="D146" s="262" t="s">
        <v>368</v>
      </c>
      <c r="Q146" s="279"/>
      <c r="R146" s="279"/>
      <c r="S146" s="279"/>
      <c r="T146" s="279"/>
    </row>
    <row r="147" spans="4:20">
      <c r="D147" s="159"/>
      <c r="Q147" s="279"/>
      <c r="R147" s="279"/>
      <c r="S147" s="279"/>
      <c r="T147" s="279"/>
    </row>
    <row r="148" spans="4:20">
      <c r="D148" s="262" t="s">
        <v>369</v>
      </c>
      <c r="Q148" s="279"/>
      <c r="R148" s="279"/>
      <c r="S148" s="279"/>
      <c r="T148" s="279"/>
    </row>
    <row r="149" spans="4:20">
      <c r="D149" s="210" t="s">
        <v>370</v>
      </c>
      <c r="Q149" s="279"/>
      <c r="R149" s="279"/>
      <c r="S149" s="279"/>
      <c r="T149" s="279"/>
    </row>
    <row r="150" spans="4:20">
      <c r="Q150" s="279"/>
      <c r="R150" s="279"/>
      <c r="S150" s="279"/>
      <c r="T150" s="279"/>
    </row>
  </sheetData>
  <sheetProtection sheet="1" objects="1" scenarios="1" autoFilter="0"/>
  <autoFilter ref="A5:AD54" xr:uid="{9B1A15B4-5073-478E-8B96-BB658F4DE1FB}"/>
  <pageMargins left="0.25" right="0.25" top="0.75" bottom="0.75" header="0.3" footer="0.3"/>
  <pageSetup scale="98" orientation="landscape" r:id="rId1"/>
  <headerFooter alignWithMargins="0"/>
  <rowBreaks count="1" manualBreakCount="1">
    <brk id="84"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City of Minneapolis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Laborers CLB Salary Schedule. From 2024-2026 Posted. 9-25-2024</dc:title>
  <dc:subject/>
  <dc:creator>City of Minneapolis Human Resources, Classification and Compensation; Howatt, Erick S</dc:creator>
  <cp:keywords/>
  <dc:description/>
  <cp:lastModifiedBy>Krueger, Deb (she/her/hers)</cp:lastModifiedBy>
  <cp:revision/>
  <dcterms:created xsi:type="dcterms:W3CDTF">2018-08-16T16:17:13Z</dcterms:created>
  <dcterms:modified xsi:type="dcterms:W3CDTF">2024-12-13T14:56:01Z</dcterms:modified>
  <cp:category/>
  <cp:contentStatus/>
</cp:coreProperties>
</file>